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9195" firstSheet="1" activeTab="1"/>
  </bookViews>
  <sheets>
    <sheet name="на 100" sheetId="4" state="hidden" r:id="rId1"/>
    <sheet name="на выход" sheetId="1" r:id="rId2"/>
    <sheet name="сводки БЖУ" sheetId="2" r:id="rId3"/>
    <sheet name="сводки по продуктам" sheetId="5" r:id="rId4"/>
    <sheet name="библиография" sheetId="7" r:id="rId5"/>
    <sheet name="Лист1" sheetId="8" state="hidden" r:id="rId6"/>
  </sheets>
  <calcPr calcId="124519"/>
</workbook>
</file>

<file path=xl/calcChain.xml><?xml version="1.0" encoding="utf-8"?>
<calcChain xmlns="http://schemas.openxmlformats.org/spreadsheetml/2006/main">
  <c r="E217" i="1"/>
  <c r="F180"/>
  <c r="G180"/>
  <c r="G195" s="1"/>
  <c r="E11" i="2" s="1"/>
  <c r="H180" i="1"/>
  <c r="I180"/>
  <c r="I195" s="1"/>
  <c r="G11" i="2" s="1"/>
  <c r="J180" i="1"/>
  <c r="K180"/>
  <c r="K195" s="1"/>
  <c r="I11" i="2" s="1"/>
  <c r="L180" i="1"/>
  <c r="M180"/>
  <c r="M195" s="1"/>
  <c r="K11" i="2" s="1"/>
  <c r="N180" i="1"/>
  <c r="O180"/>
  <c r="O195" s="1"/>
  <c r="M11" i="2" s="1"/>
  <c r="P180" i="1"/>
  <c r="E180"/>
  <c r="D6" i="2"/>
  <c r="D12"/>
  <c r="E14"/>
  <c r="F14"/>
  <c r="G14"/>
  <c r="H14"/>
  <c r="I14"/>
  <c r="J14"/>
  <c r="K14"/>
  <c r="L14"/>
  <c r="M14"/>
  <c r="N14"/>
  <c r="D13"/>
  <c r="E13"/>
  <c r="F13"/>
  <c r="G13"/>
  <c r="H13"/>
  <c r="I13"/>
  <c r="J13"/>
  <c r="K13"/>
  <c r="L13"/>
  <c r="M13"/>
  <c r="E12"/>
  <c r="F12"/>
  <c r="G12"/>
  <c r="H12"/>
  <c r="I12"/>
  <c r="J12"/>
  <c r="K12"/>
  <c r="L12"/>
  <c r="M12"/>
  <c r="N12"/>
  <c r="E10"/>
  <c r="F10"/>
  <c r="G10"/>
  <c r="H10"/>
  <c r="I10"/>
  <c r="J10"/>
  <c r="K10"/>
  <c r="L10"/>
  <c r="M10"/>
  <c r="N10"/>
  <c r="D9"/>
  <c r="E9"/>
  <c r="F9"/>
  <c r="G9"/>
  <c r="H9"/>
  <c r="I9"/>
  <c r="J9"/>
  <c r="K9"/>
  <c r="L9"/>
  <c r="M9"/>
  <c r="N9"/>
  <c r="D8"/>
  <c r="E8"/>
  <c r="F8"/>
  <c r="G8"/>
  <c r="H8"/>
  <c r="I8"/>
  <c r="J8"/>
  <c r="K8"/>
  <c r="L8"/>
  <c r="M8"/>
  <c r="N8"/>
  <c r="D7"/>
  <c r="E7"/>
  <c r="F7"/>
  <c r="G7"/>
  <c r="H7"/>
  <c r="I7"/>
  <c r="J7"/>
  <c r="K7"/>
  <c r="L7"/>
  <c r="M7"/>
  <c r="N7"/>
  <c r="E6"/>
  <c r="F6"/>
  <c r="G6"/>
  <c r="H6"/>
  <c r="I6"/>
  <c r="J6"/>
  <c r="K6"/>
  <c r="L6"/>
  <c r="M6"/>
  <c r="N6"/>
  <c r="D5"/>
  <c r="E5"/>
  <c r="F5"/>
  <c r="G5"/>
  <c r="H5"/>
  <c r="I5"/>
  <c r="J5"/>
  <c r="K5"/>
  <c r="L5"/>
  <c r="M5"/>
  <c r="N5"/>
  <c r="C13"/>
  <c r="C9"/>
  <c r="C8"/>
  <c r="C7"/>
  <c r="C6"/>
  <c r="C5"/>
  <c r="G276" i="1"/>
  <c r="H276"/>
  <c r="I276"/>
  <c r="J276"/>
  <c r="K276"/>
  <c r="L276"/>
  <c r="M276"/>
  <c r="N276"/>
  <c r="O276"/>
  <c r="P276"/>
  <c r="F275"/>
  <c r="F276" s="1"/>
  <c r="D14" i="2" s="1"/>
  <c r="G275" i="1"/>
  <c r="H275"/>
  <c r="I275"/>
  <c r="J275"/>
  <c r="K275"/>
  <c r="L275"/>
  <c r="M275"/>
  <c r="N275"/>
  <c r="O275"/>
  <c r="P275"/>
  <c r="E275"/>
  <c r="E276" s="1"/>
  <c r="C14" i="2" s="1"/>
  <c r="F271" i="1"/>
  <c r="G271"/>
  <c r="H271"/>
  <c r="I271"/>
  <c r="J271"/>
  <c r="K271"/>
  <c r="L271"/>
  <c r="M271"/>
  <c r="N271"/>
  <c r="O271"/>
  <c r="P271"/>
  <c r="E271"/>
  <c r="F261"/>
  <c r="G261"/>
  <c r="H261"/>
  <c r="I261"/>
  <c r="J261"/>
  <c r="K261"/>
  <c r="L261"/>
  <c r="M261"/>
  <c r="N261"/>
  <c r="O261"/>
  <c r="P261"/>
  <c r="E261"/>
  <c r="F248"/>
  <c r="G248"/>
  <c r="H248"/>
  <c r="I248"/>
  <c r="J248"/>
  <c r="K248"/>
  <c r="L248"/>
  <c r="M248"/>
  <c r="N248"/>
  <c r="O248"/>
  <c r="P248"/>
  <c r="E248"/>
  <c r="F247"/>
  <c r="G247"/>
  <c r="H247"/>
  <c r="I247"/>
  <c r="J247"/>
  <c r="K247"/>
  <c r="L247"/>
  <c r="M247"/>
  <c r="N247"/>
  <c r="O247"/>
  <c r="P247"/>
  <c r="E247"/>
  <c r="F242"/>
  <c r="G242"/>
  <c r="H242"/>
  <c r="I242"/>
  <c r="J242"/>
  <c r="K242"/>
  <c r="L242"/>
  <c r="M242"/>
  <c r="N242"/>
  <c r="O242"/>
  <c r="P242"/>
  <c r="E242"/>
  <c r="F233"/>
  <c r="G233"/>
  <c r="H233"/>
  <c r="I233"/>
  <c r="J233"/>
  <c r="K233"/>
  <c r="L233"/>
  <c r="M233"/>
  <c r="N233"/>
  <c r="O233"/>
  <c r="P233"/>
  <c r="E233"/>
  <c r="F221"/>
  <c r="G221"/>
  <c r="H221"/>
  <c r="I221"/>
  <c r="J221"/>
  <c r="K221"/>
  <c r="L221"/>
  <c r="M221"/>
  <c r="N221"/>
  <c r="O221"/>
  <c r="P221"/>
  <c r="E221"/>
  <c r="F217"/>
  <c r="G217"/>
  <c r="H217"/>
  <c r="I217"/>
  <c r="J217"/>
  <c r="K217"/>
  <c r="L217"/>
  <c r="M217"/>
  <c r="N217"/>
  <c r="O217"/>
  <c r="P217"/>
  <c r="F207"/>
  <c r="G207"/>
  <c r="H207"/>
  <c r="I207"/>
  <c r="J207"/>
  <c r="K207"/>
  <c r="L207"/>
  <c r="M207"/>
  <c r="N207"/>
  <c r="O207"/>
  <c r="P207"/>
  <c r="E207"/>
  <c r="E222" s="1"/>
  <c r="C12" i="2" s="1"/>
  <c r="F194" i="1"/>
  <c r="G194"/>
  <c r="H194"/>
  <c r="I194"/>
  <c r="J194"/>
  <c r="K194"/>
  <c r="L194"/>
  <c r="M194"/>
  <c r="N194"/>
  <c r="O194"/>
  <c r="P194"/>
  <c r="E194"/>
  <c r="F189"/>
  <c r="G189"/>
  <c r="H189"/>
  <c r="I189"/>
  <c r="J189"/>
  <c r="K189"/>
  <c r="L189"/>
  <c r="M189"/>
  <c r="N189"/>
  <c r="O189"/>
  <c r="P189"/>
  <c r="E189"/>
  <c r="F195"/>
  <c r="D11" i="2" s="1"/>
  <c r="H195" i="1"/>
  <c r="F11" i="2" s="1"/>
  <c r="J195" i="1"/>
  <c r="H11" i="2" s="1"/>
  <c r="H15" s="1"/>
  <c r="L195" i="1"/>
  <c r="J11" i="2" s="1"/>
  <c r="J15" s="1"/>
  <c r="N195" i="1"/>
  <c r="L11" i="2" s="1"/>
  <c r="P195" i="1"/>
  <c r="N11" i="2" s="1"/>
  <c r="E195" i="1"/>
  <c r="C11" i="2" s="1"/>
  <c r="F165" i="1"/>
  <c r="G165"/>
  <c r="H165"/>
  <c r="I165"/>
  <c r="J165"/>
  <c r="K165"/>
  <c r="L165"/>
  <c r="M165"/>
  <c r="N165"/>
  <c r="O165"/>
  <c r="P165"/>
  <c r="E165"/>
  <c r="F160"/>
  <c r="G160"/>
  <c r="H160"/>
  <c r="I160"/>
  <c r="J160"/>
  <c r="K160"/>
  <c r="L160"/>
  <c r="M160"/>
  <c r="N160"/>
  <c r="O160"/>
  <c r="P160"/>
  <c r="E160"/>
  <c r="F151"/>
  <c r="G151"/>
  <c r="G166" s="1"/>
  <c r="H151"/>
  <c r="H166" s="1"/>
  <c r="I151"/>
  <c r="I166" s="1"/>
  <c r="J151"/>
  <c r="J166" s="1"/>
  <c r="K151"/>
  <c r="K166" s="1"/>
  <c r="L151"/>
  <c r="L166" s="1"/>
  <c r="M151"/>
  <c r="M166" s="1"/>
  <c r="N151"/>
  <c r="N166" s="1"/>
  <c r="O151"/>
  <c r="O166" s="1"/>
  <c r="P151"/>
  <c r="P166" s="1"/>
  <c r="E151"/>
  <c r="F137"/>
  <c r="G137"/>
  <c r="H137"/>
  <c r="I137"/>
  <c r="J137"/>
  <c r="K137"/>
  <c r="L137"/>
  <c r="M137"/>
  <c r="N137"/>
  <c r="O137"/>
  <c r="P137"/>
  <c r="E137"/>
  <c r="F132"/>
  <c r="G132"/>
  <c r="H132"/>
  <c r="I132"/>
  <c r="J132"/>
  <c r="K132"/>
  <c r="L132"/>
  <c r="M132"/>
  <c r="N132"/>
  <c r="O132"/>
  <c r="P132"/>
  <c r="E132"/>
  <c r="F123"/>
  <c r="F138" s="1"/>
  <c r="G123"/>
  <c r="G138" s="1"/>
  <c r="H123"/>
  <c r="H138" s="1"/>
  <c r="I123"/>
  <c r="I138" s="1"/>
  <c r="J123"/>
  <c r="J138" s="1"/>
  <c r="K123"/>
  <c r="K138" s="1"/>
  <c r="L123"/>
  <c r="L138" s="1"/>
  <c r="M123"/>
  <c r="M138" s="1"/>
  <c r="N123"/>
  <c r="N138" s="1"/>
  <c r="O123"/>
  <c r="O138" s="1"/>
  <c r="P123"/>
  <c r="P138" s="1"/>
  <c r="E123"/>
  <c r="E138" s="1"/>
  <c r="F109"/>
  <c r="G109"/>
  <c r="H109"/>
  <c r="I109"/>
  <c r="J109"/>
  <c r="K109"/>
  <c r="L109"/>
  <c r="M109"/>
  <c r="N109"/>
  <c r="O109"/>
  <c r="P109"/>
  <c r="E109"/>
  <c r="F103"/>
  <c r="G103"/>
  <c r="H103"/>
  <c r="I103"/>
  <c r="J103"/>
  <c r="K103"/>
  <c r="L103"/>
  <c r="M103"/>
  <c r="N103"/>
  <c r="O103"/>
  <c r="P103"/>
  <c r="E103"/>
  <c r="F93"/>
  <c r="F110" s="1"/>
  <c r="G93"/>
  <c r="G110" s="1"/>
  <c r="H93"/>
  <c r="H110" s="1"/>
  <c r="I93"/>
  <c r="I110" s="1"/>
  <c r="J93"/>
  <c r="J110" s="1"/>
  <c r="K93"/>
  <c r="K110" s="1"/>
  <c r="L93"/>
  <c r="L110" s="1"/>
  <c r="M93"/>
  <c r="M110" s="1"/>
  <c r="N93"/>
  <c r="N110" s="1"/>
  <c r="O93"/>
  <c r="O110" s="1"/>
  <c r="P93"/>
  <c r="P110" s="1"/>
  <c r="E93"/>
  <c r="E110" s="1"/>
  <c r="F80"/>
  <c r="G80"/>
  <c r="H80"/>
  <c r="I80"/>
  <c r="J80"/>
  <c r="K80"/>
  <c r="L80"/>
  <c r="M80"/>
  <c r="N80"/>
  <c r="O80"/>
  <c r="P80"/>
  <c r="E80"/>
  <c r="F76"/>
  <c r="G76"/>
  <c r="H76"/>
  <c r="I76"/>
  <c r="J76"/>
  <c r="K76"/>
  <c r="L76"/>
  <c r="M76"/>
  <c r="N76"/>
  <c r="O76"/>
  <c r="P76"/>
  <c r="E76"/>
  <c r="F67"/>
  <c r="F81" s="1"/>
  <c r="G67"/>
  <c r="H67"/>
  <c r="I67"/>
  <c r="J67"/>
  <c r="J81" s="1"/>
  <c r="K67"/>
  <c r="L67"/>
  <c r="M67"/>
  <c r="N67"/>
  <c r="N81" s="1"/>
  <c r="O67"/>
  <c r="P67"/>
  <c r="E67"/>
  <c r="E81" s="1"/>
  <c r="F53"/>
  <c r="G53"/>
  <c r="H53"/>
  <c r="I53"/>
  <c r="J53"/>
  <c r="K53"/>
  <c r="L53"/>
  <c r="M53"/>
  <c r="N53"/>
  <c r="O53"/>
  <c r="P53"/>
  <c r="E53"/>
  <c r="F49"/>
  <c r="G49"/>
  <c r="H49"/>
  <c r="I49"/>
  <c r="J49"/>
  <c r="K49"/>
  <c r="L49"/>
  <c r="M49"/>
  <c r="N49"/>
  <c r="O49"/>
  <c r="P49"/>
  <c r="E49"/>
  <c r="F39"/>
  <c r="F54" s="1"/>
  <c r="G39"/>
  <c r="G54" s="1"/>
  <c r="H39"/>
  <c r="H54" s="1"/>
  <c r="I39"/>
  <c r="I54" s="1"/>
  <c r="J39"/>
  <c r="J54" s="1"/>
  <c r="K39"/>
  <c r="K54" s="1"/>
  <c r="L39"/>
  <c r="L54" s="1"/>
  <c r="M39"/>
  <c r="M54" s="1"/>
  <c r="N39"/>
  <c r="N54" s="1"/>
  <c r="O39"/>
  <c r="O54" s="1"/>
  <c r="P39"/>
  <c r="P54" s="1"/>
  <c r="E39"/>
  <c r="E54" s="1"/>
  <c r="F24"/>
  <c r="G24"/>
  <c r="H24"/>
  <c r="I24"/>
  <c r="J24"/>
  <c r="K24"/>
  <c r="L24"/>
  <c r="M24"/>
  <c r="N24"/>
  <c r="O24"/>
  <c r="P24"/>
  <c r="E24"/>
  <c r="P20"/>
  <c r="O20"/>
  <c r="N20"/>
  <c r="M20"/>
  <c r="L20"/>
  <c r="K20"/>
  <c r="J20"/>
  <c r="I20"/>
  <c r="H20"/>
  <c r="G20"/>
  <c r="F20"/>
  <c r="E20"/>
  <c r="F12"/>
  <c r="F25" s="1"/>
  <c r="G12"/>
  <c r="H12"/>
  <c r="I12"/>
  <c r="I25" s="1"/>
  <c r="J12"/>
  <c r="J25" s="1"/>
  <c r="K12"/>
  <c r="K25" s="1"/>
  <c r="L12"/>
  <c r="M12"/>
  <c r="M25" s="1"/>
  <c r="N12"/>
  <c r="N25" s="1"/>
  <c r="O12"/>
  <c r="O25" s="1"/>
  <c r="P12"/>
  <c r="E12"/>
  <c r="L15" i="2" l="1"/>
  <c r="K15"/>
  <c r="G15"/>
  <c r="N15"/>
  <c r="F15"/>
  <c r="M15"/>
  <c r="I15"/>
  <c r="E15"/>
  <c r="F166" i="1"/>
  <c r="D10" i="2" s="1"/>
  <c r="D15" s="1"/>
  <c r="E166" i="1"/>
  <c r="C10" i="2" s="1"/>
  <c r="C15" s="1"/>
  <c r="G25" i="1"/>
  <c r="P25"/>
  <c r="L25"/>
  <c r="H25"/>
  <c r="P81"/>
  <c r="L81"/>
  <c r="H81"/>
  <c r="M81"/>
  <c r="G81"/>
  <c r="O81"/>
  <c r="K81"/>
  <c r="I81"/>
  <c r="E25"/>
  <c r="Q116" i="4" l="1"/>
  <c r="H116"/>
  <c r="Q115"/>
  <c r="H115"/>
  <c r="F224" l="1"/>
  <c r="G224"/>
  <c r="I224"/>
  <c r="J224"/>
  <c r="K224"/>
  <c r="L224"/>
  <c r="M224"/>
  <c r="N224"/>
  <c r="O224"/>
  <c r="P224"/>
  <c r="Q125"/>
  <c r="H125" s="1"/>
  <c r="Q240" l="1"/>
  <c r="H240" s="1"/>
  <c r="F145"/>
  <c r="E145"/>
  <c r="Q144"/>
  <c r="H144" s="1"/>
  <c r="F96"/>
  <c r="G96"/>
  <c r="I96"/>
  <c r="J96"/>
  <c r="K96"/>
  <c r="L96"/>
  <c r="M96"/>
  <c r="N96"/>
  <c r="O96"/>
  <c r="P96"/>
  <c r="E96"/>
  <c r="Q95"/>
  <c r="H95" s="1"/>
  <c r="Q189" l="1"/>
  <c r="H189" s="1"/>
  <c r="Q188"/>
  <c r="H188" s="1"/>
  <c r="P187"/>
  <c r="O187"/>
  <c r="N187"/>
  <c r="M187"/>
  <c r="L187"/>
  <c r="K187"/>
  <c r="J187"/>
  <c r="I187"/>
  <c r="G187"/>
  <c r="Q187" s="1"/>
  <c r="Q219"/>
  <c r="H219" s="1"/>
  <c r="Q210"/>
  <c r="H210" s="1"/>
  <c r="Q209"/>
  <c r="H209" s="1"/>
  <c r="P208"/>
  <c r="O208"/>
  <c r="N208"/>
  <c r="M208"/>
  <c r="L208"/>
  <c r="K208"/>
  <c r="J208"/>
  <c r="I208"/>
  <c r="G208"/>
  <c r="F208"/>
  <c r="E208"/>
  <c r="Q148"/>
  <c r="H148" s="1"/>
  <c r="Q139"/>
  <c r="H139" s="1"/>
  <c r="Q138"/>
  <c r="P137"/>
  <c r="P145" s="1"/>
  <c r="O137"/>
  <c r="O145" s="1"/>
  <c r="N137"/>
  <c r="N145" s="1"/>
  <c r="M137"/>
  <c r="M145" s="1"/>
  <c r="L137"/>
  <c r="L145" s="1"/>
  <c r="K137"/>
  <c r="K145" s="1"/>
  <c r="J137"/>
  <c r="J145" s="1"/>
  <c r="I137"/>
  <c r="I145" s="1"/>
  <c r="G137"/>
  <c r="G145" s="1"/>
  <c r="Q208" l="1"/>
  <c r="H208" s="1"/>
  <c r="Q137"/>
  <c r="H137" s="1"/>
  <c r="H187"/>
  <c r="F122" l="1"/>
  <c r="I122"/>
  <c r="J122"/>
  <c r="K122"/>
  <c r="L122"/>
  <c r="M122"/>
  <c r="N122"/>
  <c r="O122"/>
  <c r="P122"/>
  <c r="E122"/>
  <c r="F112"/>
  <c r="G18" l="1"/>
  <c r="I18"/>
  <c r="J18"/>
  <c r="K18"/>
  <c r="L18"/>
  <c r="M18"/>
  <c r="N18"/>
  <c r="O18"/>
  <c r="P18"/>
  <c r="G15"/>
  <c r="I15"/>
  <c r="J15"/>
  <c r="K15"/>
  <c r="L15"/>
  <c r="M15"/>
  <c r="N15"/>
  <c r="O15"/>
  <c r="P15"/>
  <c r="G5"/>
  <c r="I5"/>
  <c r="J5"/>
  <c r="K5"/>
  <c r="L5"/>
  <c r="M5"/>
  <c r="N5"/>
  <c r="O5"/>
  <c r="P5"/>
  <c r="E5"/>
  <c r="Q247" l="1"/>
  <c r="Q236"/>
  <c r="H236" s="1"/>
  <c r="Q237"/>
  <c r="H237" s="1"/>
  <c r="Q238"/>
  <c r="H238" s="1"/>
  <c r="Q239"/>
  <c r="H239" s="1"/>
  <c r="Q242"/>
  <c r="Q243"/>
  <c r="H243" s="1"/>
  <c r="Q244"/>
  <c r="H244" s="1"/>
  <c r="Q226"/>
  <c r="H226" s="1"/>
  <c r="Q227"/>
  <c r="H227" s="1"/>
  <c r="Q228"/>
  <c r="H228" s="1"/>
  <c r="Q229"/>
  <c r="H229" s="1"/>
  <c r="Q230"/>
  <c r="H230" s="1"/>
  <c r="Q232"/>
  <c r="Q233"/>
  <c r="H233" s="1"/>
  <c r="Q234"/>
  <c r="H234" s="1"/>
  <c r="Q235"/>
  <c r="H235" s="1"/>
  <c r="Q213"/>
  <c r="H213" s="1"/>
  <c r="Q214"/>
  <c r="H214" s="1"/>
  <c r="Q215"/>
  <c r="H215" s="1"/>
  <c r="Q217"/>
  <c r="Q218"/>
  <c r="H218" s="1"/>
  <c r="Q220"/>
  <c r="H220" s="1"/>
  <c r="Q223"/>
  <c r="Q225"/>
  <c r="H225" s="1"/>
  <c r="H224" s="1"/>
  <c r="Q201"/>
  <c r="H201" s="1"/>
  <c r="Q202"/>
  <c r="H202" s="1"/>
  <c r="Q203"/>
  <c r="H203" s="1"/>
  <c r="Q204"/>
  <c r="H204" s="1"/>
  <c r="Q206"/>
  <c r="Q207"/>
  <c r="H207" s="1"/>
  <c r="Q211"/>
  <c r="H211" s="1"/>
  <c r="Q212"/>
  <c r="H212" s="1"/>
  <c r="Q190"/>
  <c r="H190" s="1"/>
  <c r="Q191"/>
  <c r="H191" s="1"/>
  <c r="Q192"/>
  <c r="H192" s="1"/>
  <c r="Q193"/>
  <c r="H193" s="1"/>
  <c r="Q195"/>
  <c r="Q197"/>
  <c r="H197" s="1"/>
  <c r="Q200"/>
  <c r="Q176"/>
  <c r="H176" s="1"/>
  <c r="Q177"/>
  <c r="H177" s="1"/>
  <c r="Q178"/>
  <c r="H178" s="1"/>
  <c r="Q180"/>
  <c r="Q181"/>
  <c r="H181" s="1"/>
  <c r="Q182"/>
  <c r="H182" s="1"/>
  <c r="Q185"/>
  <c r="H185" s="1"/>
  <c r="Q186"/>
  <c r="H186" s="1"/>
  <c r="Q166"/>
  <c r="H166" s="1"/>
  <c r="Q167"/>
  <c r="H167" s="1"/>
  <c r="Q169"/>
  <c r="Q170"/>
  <c r="H170" s="1"/>
  <c r="Q171"/>
  <c r="H171" s="1"/>
  <c r="Q172"/>
  <c r="H172" s="1"/>
  <c r="Q175"/>
  <c r="Q154"/>
  <c r="H154" s="1"/>
  <c r="Q155"/>
  <c r="H155" s="1"/>
  <c r="Q156"/>
  <c r="H156" s="1"/>
  <c r="Q158"/>
  <c r="H158" s="1"/>
  <c r="Q160"/>
  <c r="Q161"/>
  <c r="H161" s="1"/>
  <c r="Q162"/>
  <c r="H162" s="1"/>
  <c r="Q163"/>
  <c r="H163" s="1"/>
  <c r="Q164"/>
  <c r="H164" s="1"/>
  <c r="Q165"/>
  <c r="H165" s="1"/>
  <c r="Q140"/>
  <c r="H140" s="1"/>
  <c r="Q141"/>
  <c r="H141" s="1"/>
  <c r="Q142"/>
  <c r="H142" s="1"/>
  <c r="Q143"/>
  <c r="H143" s="1"/>
  <c r="Q146"/>
  <c r="Q147"/>
  <c r="H147" s="1"/>
  <c r="Q149"/>
  <c r="H149" s="1"/>
  <c r="Q152"/>
  <c r="Q153"/>
  <c r="H153" s="1"/>
  <c r="Q129"/>
  <c r="Q130"/>
  <c r="H130" s="1"/>
  <c r="Q131"/>
  <c r="H131" s="1"/>
  <c r="Q132"/>
  <c r="H132" s="1"/>
  <c r="Q133"/>
  <c r="H133" s="1"/>
  <c r="Q135"/>
  <c r="Q136"/>
  <c r="H136" s="1"/>
  <c r="Q113"/>
  <c r="H113" s="1"/>
  <c r="Q114"/>
  <c r="H114" s="1"/>
  <c r="Q117"/>
  <c r="H117" s="1"/>
  <c r="Q118"/>
  <c r="H118" s="1"/>
  <c r="Q119"/>
  <c r="H119" s="1"/>
  <c r="Q121"/>
  <c r="Q122"/>
  <c r="Q123"/>
  <c r="H123" s="1"/>
  <c r="Q124"/>
  <c r="H124" s="1"/>
  <c r="Q126"/>
  <c r="H126" s="1"/>
  <c r="Q99"/>
  <c r="H99" s="1"/>
  <c r="Q100"/>
  <c r="H100" s="1"/>
  <c r="Q101"/>
  <c r="H101" s="1"/>
  <c r="Q104"/>
  <c r="Q105"/>
  <c r="H105" s="1"/>
  <c r="Q106"/>
  <c r="H106" s="1"/>
  <c r="Q107"/>
  <c r="H107" s="1"/>
  <c r="Q108"/>
  <c r="H108" s="1"/>
  <c r="Q110"/>
  <c r="Q111"/>
  <c r="H111" s="1"/>
  <c r="Q83"/>
  <c r="H83" s="1"/>
  <c r="Q84"/>
  <c r="H84" s="1"/>
  <c r="Q85"/>
  <c r="H85" s="1"/>
  <c r="Q87"/>
  <c r="Q88"/>
  <c r="H88" s="1"/>
  <c r="Q89"/>
  <c r="H89" s="1"/>
  <c r="Q90"/>
  <c r="H90" s="1"/>
  <c r="Q91"/>
  <c r="H91" s="1"/>
  <c r="Q92"/>
  <c r="H92" s="1"/>
  <c r="Q93"/>
  <c r="H93" s="1"/>
  <c r="Q94"/>
  <c r="H94" s="1"/>
  <c r="Q97"/>
  <c r="Q98"/>
  <c r="H98" s="1"/>
  <c r="Q68"/>
  <c r="H68" s="1"/>
  <c r="Q69"/>
  <c r="H69" s="1"/>
  <c r="Q70"/>
  <c r="H70" s="1"/>
  <c r="Q71"/>
  <c r="H71" s="1"/>
  <c r="Q72"/>
  <c r="H72" s="1"/>
  <c r="Q73"/>
  <c r="H73" s="1"/>
  <c r="Q75"/>
  <c r="Q76"/>
  <c r="H76" s="1"/>
  <c r="Q77"/>
  <c r="H77" s="1"/>
  <c r="Q80"/>
  <c r="Q82"/>
  <c r="H82" s="1"/>
  <c r="Q57"/>
  <c r="H57" s="1"/>
  <c r="Q58"/>
  <c r="H58" s="1"/>
  <c r="Q59"/>
  <c r="H59" s="1"/>
  <c r="Q60"/>
  <c r="H60" s="1"/>
  <c r="Q61"/>
  <c r="H61" s="1"/>
  <c r="Q62"/>
  <c r="H62" s="1"/>
  <c r="Q64"/>
  <c r="Q65"/>
  <c r="H65" s="1"/>
  <c r="Q67"/>
  <c r="H67" s="1"/>
  <c r="Q41"/>
  <c r="H41" s="1"/>
  <c r="Q42"/>
  <c r="H42" s="1"/>
  <c r="Q43"/>
  <c r="Q44"/>
  <c r="Q45"/>
  <c r="H45" s="1"/>
  <c r="Q46"/>
  <c r="H46" s="1"/>
  <c r="Q47"/>
  <c r="H47" s="1"/>
  <c r="Q48"/>
  <c r="H48" s="1"/>
  <c r="Q50"/>
  <c r="Q51"/>
  <c r="H51" s="1"/>
  <c r="Q52"/>
  <c r="H52" s="1"/>
  <c r="Q55"/>
  <c r="Q56"/>
  <c r="Q38"/>
  <c r="Q39"/>
  <c r="H39" s="1"/>
  <c r="Q26"/>
  <c r="H26" s="1"/>
  <c r="Q27"/>
  <c r="H27" s="1"/>
  <c r="Q30"/>
  <c r="Q31"/>
  <c r="H31" s="1"/>
  <c r="Q32"/>
  <c r="H32" s="1"/>
  <c r="Q33"/>
  <c r="H33" s="1"/>
  <c r="Q34"/>
  <c r="H34" s="1"/>
  <c r="Q35"/>
  <c r="H35" s="1"/>
  <c r="Q36"/>
  <c r="H36" s="1"/>
  <c r="Q14"/>
  <c r="Q15"/>
  <c r="H15" s="1"/>
  <c r="Q16"/>
  <c r="H16" s="1"/>
  <c r="Q17"/>
  <c r="H17" s="1"/>
  <c r="Q18"/>
  <c r="Q19"/>
  <c r="H19" s="1"/>
  <c r="Q20"/>
  <c r="H20" s="1"/>
  <c r="Q21"/>
  <c r="H21" s="1"/>
  <c r="Q22"/>
  <c r="H22" s="1"/>
  <c r="Q23"/>
  <c r="H23" s="1"/>
  <c r="Q6"/>
  <c r="H6" s="1"/>
  <c r="Q7"/>
  <c r="H7" s="1"/>
  <c r="Q8"/>
  <c r="H8" s="1"/>
  <c r="Q9"/>
  <c r="H9" s="1"/>
  <c r="Q10"/>
  <c r="H10" s="1"/>
  <c r="Q11"/>
  <c r="H11" s="1"/>
  <c r="H145" l="1"/>
  <c r="H5"/>
  <c r="H96"/>
  <c r="H18"/>
  <c r="H122"/>
  <c r="E245" l="1"/>
  <c r="D245"/>
  <c r="F241"/>
  <c r="G241"/>
  <c r="I241"/>
  <c r="J241"/>
  <c r="K241"/>
  <c r="L241"/>
  <c r="M241"/>
  <c r="N241"/>
  <c r="O241"/>
  <c r="P241"/>
  <c r="E241"/>
  <c r="D241"/>
  <c r="D231"/>
  <c r="G231"/>
  <c r="J231"/>
  <c r="L231"/>
  <c r="M231"/>
  <c r="N231"/>
  <c r="P231"/>
  <c r="E224"/>
  <c r="E221"/>
  <c r="D221"/>
  <c r="I216"/>
  <c r="E216"/>
  <c r="D216"/>
  <c r="P216"/>
  <c r="O216"/>
  <c r="N216"/>
  <c r="M216"/>
  <c r="L216"/>
  <c r="K216"/>
  <c r="J216"/>
  <c r="G216"/>
  <c r="M205"/>
  <c r="E205"/>
  <c r="D205"/>
  <c r="P205"/>
  <c r="O205"/>
  <c r="N205"/>
  <c r="L205"/>
  <c r="K205"/>
  <c r="J205"/>
  <c r="I205"/>
  <c r="G205"/>
  <c r="F205"/>
  <c r="H205"/>
  <c r="D198"/>
  <c r="P198"/>
  <c r="O198"/>
  <c r="N198"/>
  <c r="M198"/>
  <c r="L198"/>
  <c r="K198"/>
  <c r="J198"/>
  <c r="I198"/>
  <c r="G198"/>
  <c r="E198"/>
  <c r="G184"/>
  <c r="I184"/>
  <c r="J184"/>
  <c r="K184"/>
  <c r="L184"/>
  <c r="M184"/>
  <c r="N184"/>
  <c r="O184"/>
  <c r="P184"/>
  <c r="E184"/>
  <c r="D173"/>
  <c r="F179"/>
  <c r="G179"/>
  <c r="H179"/>
  <c r="I179"/>
  <c r="J179"/>
  <c r="K179"/>
  <c r="L179"/>
  <c r="M179"/>
  <c r="N179"/>
  <c r="O179"/>
  <c r="P179"/>
  <c r="E179"/>
  <c r="D179"/>
  <c r="E173"/>
  <c r="F168"/>
  <c r="G168"/>
  <c r="I168"/>
  <c r="J168"/>
  <c r="K168"/>
  <c r="L168"/>
  <c r="M168"/>
  <c r="N168"/>
  <c r="O168"/>
  <c r="P168"/>
  <c r="E168"/>
  <c r="D168"/>
  <c r="Q241" l="1"/>
  <c r="D246"/>
  <c r="E231"/>
  <c r="Q179"/>
  <c r="Q205"/>
  <c r="K231"/>
  <c r="E246"/>
  <c r="D222"/>
  <c r="E222"/>
  <c r="Q168"/>
  <c r="F198"/>
  <c r="Q198" s="1"/>
  <c r="H198" s="1"/>
  <c r="Q196"/>
  <c r="F216"/>
  <c r="Q216" s="1"/>
  <c r="I231"/>
  <c r="O231"/>
  <c r="Q184"/>
  <c r="H184" s="1"/>
  <c r="F231"/>
  <c r="Q231" s="1"/>
  <c r="Q224"/>
  <c r="F157"/>
  <c r="G157"/>
  <c r="I157"/>
  <c r="J157"/>
  <c r="K157"/>
  <c r="L157"/>
  <c r="M157"/>
  <c r="N157"/>
  <c r="O157"/>
  <c r="P157"/>
  <c r="E157"/>
  <c r="E159" s="1"/>
  <c r="E174" s="1"/>
  <c r="D157"/>
  <c r="E150"/>
  <c r="D150"/>
  <c r="F134"/>
  <c r="G134"/>
  <c r="H134"/>
  <c r="I134"/>
  <c r="J134"/>
  <c r="K134"/>
  <c r="L134"/>
  <c r="M134"/>
  <c r="N134"/>
  <c r="O134"/>
  <c r="P134"/>
  <c r="E134"/>
  <c r="D134"/>
  <c r="Q134" l="1"/>
  <c r="D159"/>
  <c r="D174" s="1"/>
  <c r="P159"/>
  <c r="L159"/>
  <c r="H231"/>
  <c r="G159"/>
  <c r="N159"/>
  <c r="J159"/>
  <c r="F159"/>
  <c r="Q157"/>
  <c r="H157" s="1"/>
  <c r="O159"/>
  <c r="K159"/>
  <c r="M159"/>
  <c r="I159"/>
  <c r="Q145"/>
  <c r="D145"/>
  <c r="D151" s="1"/>
  <c r="E151"/>
  <c r="I56"/>
  <c r="J56"/>
  <c r="K56"/>
  <c r="L56"/>
  <c r="M56"/>
  <c r="N56"/>
  <c r="O56"/>
  <c r="P56"/>
  <c r="F40"/>
  <c r="G40"/>
  <c r="I40"/>
  <c r="J40"/>
  <c r="K40"/>
  <c r="L40"/>
  <c r="M40"/>
  <c r="N40"/>
  <c r="O40"/>
  <c r="P40"/>
  <c r="E40"/>
  <c r="Q40" l="1"/>
  <c r="H40" s="1"/>
  <c r="H159"/>
  <c r="Q159"/>
  <c r="D12"/>
  <c r="D28"/>
  <c r="D37"/>
  <c r="D49"/>
  <c r="D53"/>
  <c r="D63"/>
  <c r="D74"/>
  <c r="D78"/>
  <c r="D86"/>
  <c r="D96"/>
  <c r="D102"/>
  <c r="D109"/>
  <c r="D120"/>
  <c r="D127"/>
  <c r="G112"/>
  <c r="I112"/>
  <c r="J112"/>
  <c r="K112"/>
  <c r="L112"/>
  <c r="M112"/>
  <c r="N112"/>
  <c r="O112"/>
  <c r="P112"/>
  <c r="E112"/>
  <c r="Q112" l="1"/>
  <c r="H112" s="1"/>
  <c r="D24"/>
  <c r="D103"/>
  <c r="D79"/>
  <c r="F81"/>
  <c r="G81"/>
  <c r="I81"/>
  <c r="J81"/>
  <c r="K81"/>
  <c r="L81"/>
  <c r="M81"/>
  <c r="N81"/>
  <c r="O81"/>
  <c r="P81"/>
  <c r="Q81"/>
  <c r="H81" s="1"/>
  <c r="F66"/>
  <c r="I66"/>
  <c r="J66"/>
  <c r="K66"/>
  <c r="L66"/>
  <c r="M66"/>
  <c r="N66"/>
  <c r="O66"/>
  <c r="P66"/>
  <c r="E66"/>
  <c r="F63"/>
  <c r="G63"/>
  <c r="I63"/>
  <c r="J63"/>
  <c r="K63"/>
  <c r="L63"/>
  <c r="M63"/>
  <c r="N63"/>
  <c r="O63"/>
  <c r="P63"/>
  <c r="E63"/>
  <c r="H63"/>
  <c r="E49"/>
  <c r="Q66" l="1"/>
  <c r="H66" s="1"/>
  <c r="Q63"/>
  <c r="E28"/>
  <c r="E12"/>
  <c r="H44" l="1"/>
  <c r="F245" l="1"/>
  <c r="G245"/>
  <c r="I245"/>
  <c r="J245"/>
  <c r="K245"/>
  <c r="L245"/>
  <c r="M245"/>
  <c r="N245"/>
  <c r="O245"/>
  <c r="P245"/>
  <c r="P221"/>
  <c r="N221"/>
  <c r="M221"/>
  <c r="J221"/>
  <c r="I221"/>
  <c r="F221"/>
  <c r="H245"/>
  <c r="D183"/>
  <c r="F173"/>
  <c r="G173"/>
  <c r="G174" s="1"/>
  <c r="I173"/>
  <c r="I174" s="1"/>
  <c r="J173"/>
  <c r="J174" s="1"/>
  <c r="K173"/>
  <c r="K174" s="1"/>
  <c r="L173"/>
  <c r="L174" s="1"/>
  <c r="M173"/>
  <c r="M174" s="1"/>
  <c r="N173"/>
  <c r="N174" s="1"/>
  <c r="O173"/>
  <c r="O174" s="1"/>
  <c r="P173"/>
  <c r="P174" s="1"/>
  <c r="F150"/>
  <c r="G150"/>
  <c r="I150"/>
  <c r="J150"/>
  <c r="K150"/>
  <c r="L150"/>
  <c r="M150"/>
  <c r="N150"/>
  <c r="O150"/>
  <c r="P150"/>
  <c r="Q245" l="1"/>
  <c r="D194"/>
  <c r="D199" s="1"/>
  <c r="F174"/>
  <c r="Q174" s="1"/>
  <c r="Q173"/>
  <c r="Q150"/>
  <c r="H221"/>
  <c r="O221"/>
  <c r="K221"/>
  <c r="G221"/>
  <c r="Q221" s="1"/>
  <c r="L221"/>
  <c r="Q96"/>
  <c r="H150"/>
  <c r="H151" s="1"/>
  <c r="H173" l="1"/>
  <c r="F222"/>
  <c r="G222"/>
  <c r="N222"/>
  <c r="P222"/>
  <c r="J222"/>
  <c r="L222"/>
  <c r="O222"/>
  <c r="I222"/>
  <c r="M222"/>
  <c r="K222"/>
  <c r="Q222" l="1"/>
  <c r="F120" l="1"/>
  <c r="G120"/>
  <c r="I120"/>
  <c r="J120"/>
  <c r="K120"/>
  <c r="L120"/>
  <c r="M120"/>
  <c r="N120"/>
  <c r="O120"/>
  <c r="P120"/>
  <c r="E120"/>
  <c r="Q120" l="1"/>
  <c r="E74"/>
  <c r="M74"/>
  <c r="P74"/>
  <c r="L74"/>
  <c r="G74"/>
  <c r="O74"/>
  <c r="K74"/>
  <c r="F74"/>
  <c r="N74"/>
  <c r="J74"/>
  <c r="I74"/>
  <c r="Q74" l="1"/>
  <c r="F24"/>
  <c r="G24"/>
  <c r="I24"/>
  <c r="J24"/>
  <c r="K24"/>
  <c r="L24"/>
  <c r="M24"/>
  <c r="N24"/>
  <c r="O24"/>
  <c r="P24"/>
  <c r="E24" l="1"/>
  <c r="E29" s="1"/>
  <c r="E86" l="1"/>
  <c r="F86" l="1"/>
  <c r="G86"/>
  <c r="I86"/>
  <c r="J86"/>
  <c r="K86"/>
  <c r="L86"/>
  <c r="M86"/>
  <c r="N86"/>
  <c r="O86"/>
  <c r="P86"/>
  <c r="D54"/>
  <c r="F53"/>
  <c r="G53"/>
  <c r="I53"/>
  <c r="J53"/>
  <c r="K53"/>
  <c r="L53"/>
  <c r="M53"/>
  <c r="N53"/>
  <c r="O53"/>
  <c r="P53"/>
  <c r="E53"/>
  <c r="Q53" l="1"/>
  <c r="Q86"/>
  <c r="F37" l="1"/>
  <c r="G37"/>
  <c r="I37"/>
  <c r="J37"/>
  <c r="K37"/>
  <c r="L37"/>
  <c r="M37"/>
  <c r="N37"/>
  <c r="O37"/>
  <c r="P37"/>
  <c r="E37"/>
  <c r="Q13"/>
  <c r="Q25"/>
  <c r="Q5"/>
  <c r="Q37" l="1"/>
  <c r="H241"/>
  <c r="H53"/>
  <c r="H216" l="1"/>
  <c r="H222" s="1"/>
  <c r="H168"/>
  <c r="H174" s="1"/>
  <c r="H86"/>
  <c r="H74"/>
  <c r="H24"/>
  <c r="H37"/>
  <c r="H120" l="1"/>
  <c r="F183" l="1"/>
  <c r="F194" s="1"/>
  <c r="G183"/>
  <c r="G194" s="1"/>
  <c r="G199" s="1"/>
  <c r="I183"/>
  <c r="I194" s="1"/>
  <c r="I199" s="1"/>
  <c r="J183"/>
  <c r="J194" s="1"/>
  <c r="J199" s="1"/>
  <c r="K183"/>
  <c r="K194" s="1"/>
  <c r="K199" s="1"/>
  <c r="L183"/>
  <c r="L194" s="1"/>
  <c r="L199" s="1"/>
  <c r="M183"/>
  <c r="M194" s="1"/>
  <c r="M199" s="1"/>
  <c r="N183"/>
  <c r="N194" s="1"/>
  <c r="N199" s="1"/>
  <c r="O183"/>
  <c r="O194" s="1"/>
  <c r="O199" s="1"/>
  <c r="P183"/>
  <c r="P194" s="1"/>
  <c r="P199" s="1"/>
  <c r="E183"/>
  <c r="E194" l="1"/>
  <c r="E199" s="1"/>
  <c r="Q183"/>
  <c r="H183" s="1"/>
  <c r="F199"/>
  <c r="H194"/>
  <c r="H199" s="1"/>
  <c r="Q199" l="1"/>
  <c r="Q194"/>
  <c r="F109" l="1"/>
  <c r="G109"/>
  <c r="H109"/>
  <c r="I109"/>
  <c r="J109"/>
  <c r="K109"/>
  <c r="L109"/>
  <c r="M109"/>
  <c r="N109"/>
  <c r="O109"/>
  <c r="P109"/>
  <c r="E109"/>
  <c r="Q109" l="1"/>
  <c r="K246"/>
  <c r="I246"/>
  <c r="M246"/>
  <c r="J246"/>
  <c r="F246"/>
  <c r="O246"/>
  <c r="G246"/>
  <c r="L246"/>
  <c r="P246"/>
  <c r="N246"/>
  <c r="K151"/>
  <c r="N151"/>
  <c r="J151"/>
  <c r="O151"/>
  <c r="F151"/>
  <c r="I151"/>
  <c r="M151"/>
  <c r="P151"/>
  <c r="L151"/>
  <c r="G151"/>
  <c r="D29"/>
  <c r="D128"/>
  <c r="Q246" l="1"/>
  <c r="Q151"/>
  <c r="H246"/>
  <c r="F78"/>
  <c r="G78"/>
  <c r="H78"/>
  <c r="I78"/>
  <c r="J78"/>
  <c r="K78"/>
  <c r="L78"/>
  <c r="M78"/>
  <c r="N78"/>
  <c r="O78"/>
  <c r="P78"/>
  <c r="E78"/>
  <c r="Q78" l="1"/>
  <c r="Q24" l="1"/>
  <c r="J15" i="8" l="1"/>
  <c r="I15"/>
  <c r="I14"/>
  <c r="I13"/>
  <c r="H15"/>
  <c r="H14"/>
  <c r="H13"/>
  <c r="G15"/>
  <c r="G14"/>
  <c r="G13"/>
  <c r="G16" s="1"/>
  <c r="F15"/>
  <c r="F16" s="1"/>
  <c r="F14"/>
  <c r="F13"/>
  <c r="E15"/>
  <c r="E14"/>
  <c r="E13"/>
  <c r="D15"/>
  <c r="C15"/>
  <c r="D14"/>
  <c r="C14"/>
  <c r="D13"/>
  <c r="C13"/>
  <c r="J14"/>
  <c r="J13"/>
  <c r="H16" l="1"/>
  <c r="I16"/>
  <c r="J16"/>
  <c r="C16"/>
  <c r="E16"/>
  <c r="D16"/>
  <c r="R225" i="4"/>
  <c r="H8" i="8" l="1"/>
  <c r="J7"/>
  <c r="I7"/>
  <c r="H7"/>
  <c r="G7"/>
  <c r="F7"/>
  <c r="E7"/>
  <c r="D7"/>
  <c r="C7"/>
  <c r="J6"/>
  <c r="I6"/>
  <c r="H6"/>
  <c r="G6"/>
  <c r="F6"/>
  <c r="E6"/>
  <c r="D6"/>
  <c r="C6"/>
  <c r="J5"/>
  <c r="J8" s="1"/>
  <c r="I5"/>
  <c r="I8" s="1"/>
  <c r="H5"/>
  <c r="G5"/>
  <c r="G8" s="1"/>
  <c r="F5"/>
  <c r="F8" s="1"/>
  <c r="E5"/>
  <c r="E8" s="1"/>
  <c r="D5"/>
  <c r="D8" s="1"/>
  <c r="C5"/>
  <c r="C8" s="1"/>
  <c r="F28" i="4" l="1"/>
  <c r="G28"/>
  <c r="H28"/>
  <c r="I28"/>
  <c r="J28"/>
  <c r="K28"/>
  <c r="L28"/>
  <c r="M28"/>
  <c r="N28"/>
  <c r="O28"/>
  <c r="P28"/>
  <c r="Q28" l="1"/>
  <c r="E127" l="1"/>
  <c r="E102"/>
  <c r="E79"/>
  <c r="F49"/>
  <c r="G49"/>
  <c r="H49"/>
  <c r="I49"/>
  <c r="J49"/>
  <c r="K49"/>
  <c r="L49"/>
  <c r="M49"/>
  <c r="N49"/>
  <c r="O49"/>
  <c r="P49"/>
  <c r="E54"/>
  <c r="F12"/>
  <c r="G12"/>
  <c r="H12"/>
  <c r="I12"/>
  <c r="J12"/>
  <c r="K12"/>
  <c r="L12"/>
  <c r="M12"/>
  <c r="N12"/>
  <c r="O12"/>
  <c r="P12"/>
  <c r="Q49" l="1"/>
  <c r="Q12"/>
  <c r="E128"/>
  <c r="G29" l="1"/>
  <c r="H29"/>
  <c r="I29"/>
  <c r="J29"/>
  <c r="K29"/>
  <c r="L29"/>
  <c r="M29"/>
  <c r="N29"/>
  <c r="O29"/>
  <c r="P29"/>
  <c r="F29" l="1"/>
  <c r="Q29" s="1"/>
  <c r="P127" l="1"/>
  <c r="O127"/>
  <c r="N127"/>
  <c r="M127"/>
  <c r="L127"/>
  <c r="K127"/>
  <c r="J127"/>
  <c r="I127"/>
  <c r="H127"/>
  <c r="G127"/>
  <c r="F127"/>
  <c r="P102"/>
  <c r="O102"/>
  <c r="N102"/>
  <c r="M102"/>
  <c r="L102"/>
  <c r="K102"/>
  <c r="J102"/>
  <c r="I102"/>
  <c r="H102"/>
  <c r="G102"/>
  <c r="F102"/>
  <c r="E103"/>
  <c r="P54"/>
  <c r="N54"/>
  <c r="M54"/>
  <c r="L54"/>
  <c r="K54"/>
  <c r="J54"/>
  <c r="I54"/>
  <c r="H54"/>
  <c r="G54"/>
  <c r="Q127" l="1"/>
  <c r="Q102"/>
  <c r="H103"/>
  <c r="F54"/>
  <c r="Q54" s="1"/>
  <c r="O54"/>
  <c r="P103"/>
  <c r="L103"/>
  <c r="F103"/>
  <c r="J103"/>
  <c r="N103"/>
  <c r="H128"/>
  <c r="L128"/>
  <c r="P128"/>
  <c r="I103"/>
  <c r="M103"/>
  <c r="G128"/>
  <c r="K128"/>
  <c r="O128"/>
  <c r="F128"/>
  <c r="J128"/>
  <c r="N128"/>
  <c r="G103"/>
  <c r="K103"/>
  <c r="O103"/>
  <c r="I128"/>
  <c r="M128"/>
  <c r="M79"/>
  <c r="J79"/>
  <c r="O79"/>
  <c r="I79"/>
  <c r="F79"/>
  <c r="N79"/>
  <c r="G79"/>
  <c r="K79"/>
  <c r="L79"/>
  <c r="H79"/>
  <c r="P79"/>
  <c r="Q79" l="1"/>
  <c r="Q128"/>
  <c r="Q103"/>
</calcChain>
</file>

<file path=xl/sharedStrings.xml><?xml version="1.0" encoding="utf-8"?>
<sst xmlns="http://schemas.openxmlformats.org/spreadsheetml/2006/main" count="1198" uniqueCount="309">
  <si>
    <t>№ рец.</t>
  </si>
  <si>
    <t>Наименование блюда</t>
  </si>
  <si>
    <t>Масса порции, г</t>
  </si>
  <si>
    <t>Пищевые вещества, (г)</t>
  </si>
  <si>
    <t>Энергетическая ценность, (ккал)</t>
  </si>
  <si>
    <t>Витамины, (мг)</t>
  </si>
  <si>
    <t>Минеральные вещества, (мг)</t>
  </si>
  <si>
    <t>Б</t>
  </si>
  <si>
    <t>Ж</t>
  </si>
  <si>
    <t>У</t>
  </si>
  <si>
    <t>С</t>
  </si>
  <si>
    <t>А</t>
  </si>
  <si>
    <t>Е</t>
  </si>
  <si>
    <t>Ca</t>
  </si>
  <si>
    <t>P</t>
  </si>
  <si>
    <t>Mg</t>
  </si>
  <si>
    <t>Fe</t>
  </si>
  <si>
    <t>Завтрак</t>
  </si>
  <si>
    <t>Итого</t>
  </si>
  <si>
    <t>Обед</t>
  </si>
  <si>
    <t>Хлеб пшеничный</t>
  </si>
  <si>
    <t>Хлеб ржано-пшеничный</t>
  </si>
  <si>
    <t>Полдник</t>
  </si>
  <si>
    <t>Итого за 1 день</t>
  </si>
  <si>
    <t>Батон пектиновый</t>
  </si>
  <si>
    <t>Итого за 2 день</t>
  </si>
  <si>
    <t>Чай с сахаром</t>
  </si>
  <si>
    <t>Итого за 3 день</t>
  </si>
  <si>
    <t>Итого за 4 день</t>
  </si>
  <si>
    <t>Итого за 5 день</t>
  </si>
  <si>
    <t>Итого за 6 день</t>
  </si>
  <si>
    <t>Итого за 7 день</t>
  </si>
  <si>
    <t>Итого за 8 день</t>
  </si>
  <si>
    <t>Итого за 9 день</t>
  </si>
  <si>
    <t>Итого за 10 день</t>
  </si>
  <si>
    <t>День недели</t>
  </si>
  <si>
    <t>Энергетическая ценность на 10 дней, (ккал)</t>
  </si>
  <si>
    <r>
      <t>В</t>
    </r>
    <r>
      <rPr>
        <vertAlign val="subscript"/>
        <sz val="12"/>
        <color theme="1"/>
        <rFont val="Times New Roman"/>
        <family val="1"/>
        <charset val="204"/>
      </rPr>
      <t>1</t>
    </r>
  </si>
  <si>
    <t>Всего за 10 дней</t>
  </si>
  <si>
    <t>Сводная таблица о потреблении  пищевых веществ и энергии обучающихся образовательных учреждений за 10 дней</t>
  </si>
  <si>
    <t xml:space="preserve">Энергетическая ценность </t>
  </si>
  <si>
    <t xml:space="preserve"> Ккал</t>
  </si>
  <si>
    <t>Нормы физиологических потребностей в энергии и пищевых веществах для детей 7-11 лет, (СанПиН 2.4.5.2409-08)</t>
  </si>
  <si>
    <t>46-54,5</t>
  </si>
  <si>
    <t>47-55</t>
  </si>
  <si>
    <t>201-235</t>
  </si>
  <si>
    <t>1410-1645</t>
  </si>
  <si>
    <t>Итого за весь период</t>
  </si>
  <si>
    <t>Среднее значение за период</t>
  </si>
  <si>
    <t>Компот из свежих плодов (яблок)</t>
  </si>
  <si>
    <t xml:space="preserve">Омлет натуральный </t>
  </si>
  <si>
    <t>Пюре картофельное</t>
  </si>
  <si>
    <t>Кисель ягодный</t>
  </si>
  <si>
    <t>Какао с молоком</t>
  </si>
  <si>
    <t>102 [4]</t>
  </si>
  <si>
    <t>Компот из фруктов и ягод с/м</t>
  </si>
  <si>
    <t>Компот из смеси сухофруктов</t>
  </si>
  <si>
    <t>ТТК 2.18</t>
  </si>
  <si>
    <t>339 [5]</t>
  </si>
  <si>
    <t>Среднесуточный набор пищевых продуктов за 10 дней</t>
  </si>
  <si>
    <t>к СанПиН2.3/2.4.3590-20</t>
  </si>
  <si>
    <t>№п/п</t>
  </si>
  <si>
    <t>Наименование продуктов</t>
  </si>
  <si>
    <t>Среднесуточные нормы</t>
  </si>
  <si>
    <t>Норма за 10 дней</t>
  </si>
  <si>
    <t>%</t>
  </si>
  <si>
    <t>Недостаток, г</t>
  </si>
  <si>
    <t>Избыток, г</t>
  </si>
  <si>
    <t xml:space="preserve">Хлеб </t>
  </si>
  <si>
    <t>-</t>
  </si>
  <si>
    <t>Мука пшеничная</t>
  </si>
  <si>
    <t>Крупы, бобовые</t>
  </si>
  <si>
    <t>Макаронные изделия</t>
  </si>
  <si>
    <t>Картофель</t>
  </si>
  <si>
    <t>Овощи свежие, зелень</t>
  </si>
  <si>
    <t>Фрукты (плоды) свежие</t>
  </si>
  <si>
    <t>Фрукты (плоды) сухие, шиповник, кисель</t>
  </si>
  <si>
    <t xml:space="preserve">Соки плодоовощные, напитки витаминизированные </t>
  </si>
  <si>
    <t>Мясо жилованное 1 кат. (нетто)</t>
  </si>
  <si>
    <t>Цыплята 1 кат. (нетто)</t>
  </si>
  <si>
    <t>Рыба-филе (нетто)</t>
  </si>
  <si>
    <t xml:space="preserve">Молоко </t>
  </si>
  <si>
    <t>Творог 9%</t>
  </si>
  <si>
    <t>Сыр</t>
  </si>
  <si>
    <t>Сметана 15%</t>
  </si>
  <si>
    <t>Масло сливочное</t>
  </si>
  <si>
    <t>Масло растительное</t>
  </si>
  <si>
    <t>Яйцо</t>
  </si>
  <si>
    <t>Сахар</t>
  </si>
  <si>
    <t>Кондитерские изделия</t>
  </si>
  <si>
    <t>Чай</t>
  </si>
  <si>
    <t>Дрожжи хлебопекарные</t>
  </si>
  <si>
    <t>Соль</t>
  </si>
  <si>
    <t>Получено фактически</t>
  </si>
  <si>
    <t>Среднесуточная норма 60% (завтрак, обед, полдник)</t>
  </si>
  <si>
    <t>Среднее значение по группе:</t>
  </si>
  <si>
    <t>378 [5]</t>
  </si>
  <si>
    <t>ТТК 2.3</t>
  </si>
  <si>
    <t>ТТК 2.1</t>
  </si>
  <si>
    <t>Библиография</t>
  </si>
  <si>
    <t>1.Сборник рецептур блюд и кулинарных изделий: Для предприятий общественного питания /  Авт.-сост.: А. И. Здобнов, В. А. Цыганенко, М. И. Пересичный. – К. : Арий, М.: Лада, 2008. – 688 с.</t>
  </si>
  <si>
    <t>2. Сборник рецептур блюд и типовых меню для организации питания детей школьного возраста / ред. совет: ФБУН «Новосибирский НИИ гигиены» Роспотребнадзора (И.И. Новикова и др.) и др., 2021. – 289 с.</t>
  </si>
  <si>
    <t>3. Сборник рецептур блюд и типовых меню для организации питания обучающихся 1-4 классов общеобразовательных организаций / ред. совет: ФБУН «Новосибирский НИИ гигиены» Роспотребнадзора (И.И. Новикова и др.) и др., 2021. – 192 с.</t>
  </si>
  <si>
    <t>4.Сборник технических нормативов – Сборник рецептур на продукцию для обучающихся во всех образовательных учреждениях / Под ред. М.П. Могильного и В.А. Тутельяна. – М.: ДеЛи плюс, 2017. – 544 с.</t>
  </si>
  <si>
    <t>5.Сборник технических нормативов – Сборник рецептур на продукцию для питания детей в дошкольных образовательных организациях / Под ред. М.П. Могильного и  В.А.Тутельяна.- М.: ДеЛи  плюс , 2015 .-640 с.</t>
  </si>
  <si>
    <t>6. Справочник «Химический состав российских пищевых продуктов»/ Под ред. И. М. Скурихина, В. А. Тутельяна. – М. : ДеЛи принт, 2002. – 236 с.</t>
  </si>
  <si>
    <t>__________________________________________________________________________________________________</t>
  </si>
  <si>
    <t>Пояснение</t>
  </si>
  <si>
    <t>Запеканка из творога с повидлом</t>
  </si>
  <si>
    <t>200 /15/7</t>
  </si>
  <si>
    <t>200 /15</t>
  </si>
  <si>
    <t>Масло сливочное (порциями)</t>
  </si>
  <si>
    <t>Свекольник</t>
  </si>
  <si>
    <t xml:space="preserve">жиры </t>
  </si>
  <si>
    <t>углеводы</t>
  </si>
  <si>
    <t>калорийность</t>
  </si>
  <si>
    <t>завтрак</t>
  </si>
  <si>
    <t>обед</t>
  </si>
  <si>
    <t>полдник</t>
  </si>
  <si>
    <t>20-25%</t>
  </si>
  <si>
    <t>мин</t>
  </si>
  <si>
    <t>макс</t>
  </si>
  <si>
    <t>30-35 %</t>
  </si>
  <si>
    <t>10-15 %</t>
  </si>
  <si>
    <t>Итого за день</t>
  </si>
  <si>
    <t>60-75%</t>
  </si>
  <si>
    <t xml:space="preserve">белки </t>
  </si>
  <si>
    <t>7-11 лет</t>
  </si>
  <si>
    <t>с 12 лет</t>
  </si>
  <si>
    <t>В примерном десятидневном меню для муниципальных общеобразовательных учреждений Шебекинского городского округа для возраста обучающихся 7-11 лет приведена сводная таблица о потреблении пищевых веществ и энергии за 10 дней. При сравнении норм потребности в пищевых веществах, энергии, указанных в приложении 10 (таблица 3) к СанПиН 2.3/2.4.3590-20, можно увидеть, что при осуществлении двух или трех разового питания (60-75% от суточной потребности) данные требования выполняются.</t>
  </si>
  <si>
    <t>Потребности в пищевых веществахи и энергии согласно сводной таблице к примерному меню  для возраста 7-11 лет</t>
  </si>
  <si>
    <t>Потребности в пищевых веществахи и энергии согласно СанПиН 2.3/2.4.3590-20 для возраста 7-11 лет</t>
  </si>
  <si>
    <t>Потребности в пищевых веществахи и энергии согласно СанПиН  2.3/2.4.3590-20 для возраста с 12 лет</t>
  </si>
  <si>
    <t>Каша рисовая рассыпчатая</t>
  </si>
  <si>
    <r>
      <t>День:</t>
    </r>
    <r>
      <rPr>
        <sz val="12"/>
        <color theme="1"/>
        <rFont val="Times New Roman"/>
        <family val="1"/>
        <charset val="204"/>
      </rPr>
      <t xml:space="preserve"> первый</t>
    </r>
  </si>
  <si>
    <r>
      <t>Неделя:</t>
    </r>
    <r>
      <rPr>
        <sz val="12"/>
        <color theme="1"/>
        <rFont val="Times New Roman"/>
        <family val="1"/>
        <charset val="204"/>
      </rPr>
      <t xml:space="preserve"> первая</t>
    </r>
  </si>
  <si>
    <r>
      <t>В</t>
    </r>
    <r>
      <rPr>
        <b/>
        <vertAlign val="subscript"/>
        <sz val="12"/>
        <rFont val="Times New Roman"/>
        <family val="1"/>
        <charset val="204"/>
      </rPr>
      <t>1</t>
    </r>
  </si>
  <si>
    <r>
      <t xml:space="preserve">День: </t>
    </r>
    <r>
      <rPr>
        <sz val="12"/>
        <color theme="1"/>
        <rFont val="Times New Roman"/>
        <family val="1"/>
        <charset val="204"/>
      </rPr>
      <t>второй</t>
    </r>
  </si>
  <si>
    <r>
      <t>День:</t>
    </r>
    <r>
      <rPr>
        <sz val="12"/>
        <color theme="1"/>
        <rFont val="Times New Roman"/>
        <family val="1"/>
        <charset val="204"/>
      </rPr>
      <t xml:space="preserve"> третий</t>
    </r>
  </si>
  <si>
    <r>
      <t>День:</t>
    </r>
    <r>
      <rPr>
        <sz val="12"/>
        <color theme="1"/>
        <rFont val="Times New Roman"/>
        <family val="1"/>
        <charset val="204"/>
      </rPr>
      <t xml:space="preserve"> четвертый</t>
    </r>
  </si>
  <si>
    <r>
      <t>День:</t>
    </r>
    <r>
      <rPr>
        <sz val="12"/>
        <color theme="1"/>
        <rFont val="Times New Roman"/>
        <family val="1"/>
        <charset val="204"/>
      </rPr>
      <t xml:space="preserve"> пятый</t>
    </r>
  </si>
  <si>
    <r>
      <t>День:</t>
    </r>
    <r>
      <rPr>
        <sz val="12"/>
        <color theme="1"/>
        <rFont val="Times New Roman"/>
        <family val="1"/>
        <charset val="204"/>
      </rPr>
      <t xml:space="preserve"> шестой</t>
    </r>
  </si>
  <si>
    <r>
      <t>Неделя:</t>
    </r>
    <r>
      <rPr>
        <sz val="12"/>
        <color theme="1"/>
        <rFont val="Times New Roman"/>
        <family val="1"/>
        <charset val="204"/>
      </rPr>
      <t xml:space="preserve"> вторая</t>
    </r>
  </si>
  <si>
    <r>
      <t>День:</t>
    </r>
    <r>
      <rPr>
        <sz val="12"/>
        <color theme="1"/>
        <rFont val="Times New Roman"/>
        <family val="1"/>
        <charset val="204"/>
      </rPr>
      <t xml:space="preserve"> седьмой</t>
    </r>
  </si>
  <si>
    <r>
      <t>День:</t>
    </r>
    <r>
      <rPr>
        <sz val="12"/>
        <color theme="1"/>
        <rFont val="Times New Roman"/>
        <family val="1"/>
        <charset val="204"/>
      </rPr>
      <t xml:space="preserve"> восьмой</t>
    </r>
  </si>
  <si>
    <r>
      <t>День:</t>
    </r>
    <r>
      <rPr>
        <sz val="12"/>
        <color theme="1"/>
        <rFont val="Times New Roman"/>
        <family val="1"/>
        <charset val="204"/>
      </rPr>
      <t xml:space="preserve"> девятый</t>
    </r>
  </si>
  <si>
    <r>
      <t>День:</t>
    </r>
    <r>
      <rPr>
        <sz val="12"/>
        <color theme="1"/>
        <rFont val="Times New Roman"/>
        <family val="1"/>
        <charset val="204"/>
      </rPr>
      <t xml:space="preserve"> десятый</t>
    </r>
  </si>
  <si>
    <t>ТТК 7.1</t>
  </si>
  <si>
    <t>ТТК 3.6</t>
  </si>
  <si>
    <t>ТТК 7.9</t>
  </si>
  <si>
    <t>ТТК 2.19</t>
  </si>
  <si>
    <t>ТТК 7.7</t>
  </si>
  <si>
    <t>Чай с сахаром и лимоном</t>
  </si>
  <si>
    <t>ТТК 7.3</t>
  </si>
  <si>
    <t>ТТК 7.8</t>
  </si>
  <si>
    <t>ТТК 2.4</t>
  </si>
  <si>
    <t>ТТК 3.32</t>
  </si>
  <si>
    <t>Итого:</t>
  </si>
  <si>
    <t>ТТК 3.15</t>
  </si>
  <si>
    <t>ТТК 4.11</t>
  </si>
  <si>
    <t>ТТК 4.9</t>
  </si>
  <si>
    <t>ТТК 5.41</t>
  </si>
  <si>
    <t>432[5]</t>
  </si>
  <si>
    <t>416[5]</t>
  </si>
  <si>
    <t>378 [1]</t>
  </si>
  <si>
    <t>223[4]</t>
  </si>
  <si>
    <t>54-1о-2020 [2]</t>
  </si>
  <si>
    <t>ТТК 5.24</t>
  </si>
  <si>
    <t>Блинчики с начинкой из п/ф</t>
  </si>
  <si>
    <t>Сыр (порциями)</t>
  </si>
  <si>
    <t>ТТК 3.34</t>
  </si>
  <si>
    <t>Сэндвич Школьный (с соленым огурцом)</t>
  </si>
  <si>
    <t>Салат из свеклы с сыром</t>
  </si>
  <si>
    <t>Каша вязкая молочная из овсяных хлопьев "Геркулес" с маслом сливочным</t>
  </si>
  <si>
    <t>Спагетти  с мясным соусом</t>
  </si>
  <si>
    <t>Каша жидкая молочная рисовая с маслом сливочным</t>
  </si>
  <si>
    <t>ТТК 3.20</t>
  </si>
  <si>
    <t>Салат из красной консервированной фасоли</t>
  </si>
  <si>
    <t>200/ 15</t>
  </si>
  <si>
    <t>200/ 10</t>
  </si>
  <si>
    <t>Мясной соус</t>
  </si>
  <si>
    <t>250 /10</t>
  </si>
  <si>
    <t>200 /5</t>
  </si>
  <si>
    <t>250/ 10</t>
  </si>
  <si>
    <t>250/ 15</t>
  </si>
  <si>
    <t>100/ 180</t>
  </si>
  <si>
    <t>200 / 10</t>
  </si>
  <si>
    <t>200 /5/5</t>
  </si>
  <si>
    <t>ТТК 5.37</t>
  </si>
  <si>
    <t>ТТК 7.14</t>
  </si>
  <si>
    <t>ТТК 4.3</t>
  </si>
  <si>
    <t>ТТК 1.1</t>
  </si>
  <si>
    <t>ТТК 7.16</t>
  </si>
  <si>
    <t>Конд. изделие пром. производства</t>
  </si>
  <si>
    <t>Каша  гречневая рассыпчатая</t>
  </si>
  <si>
    <t>250 /15</t>
  </si>
  <si>
    <r>
      <t>Возрастная категория:</t>
    </r>
    <r>
      <rPr>
        <sz val="12"/>
        <color theme="1"/>
        <rFont val="Times New Roman"/>
        <family val="1"/>
        <charset val="204"/>
      </rPr>
      <t xml:space="preserve"> с 12 лет и старше</t>
    </r>
  </si>
  <si>
    <t>1шт./ (40)</t>
  </si>
  <si>
    <t>* При приготовлении блюд используются овощи и фрукты урожая 2023-2024гг. После 1  марта допускается использовать только после термической обработки.</t>
  </si>
  <si>
    <t>Кнели мясные с соусом</t>
  </si>
  <si>
    <t>ТТК 5.12</t>
  </si>
  <si>
    <t>182 [4]</t>
  </si>
  <si>
    <t>14 [4]</t>
  </si>
  <si>
    <t>32 [5]</t>
  </si>
  <si>
    <t xml:space="preserve">Сухарики </t>
  </si>
  <si>
    <t>ТТК 2.14</t>
  </si>
  <si>
    <t>Суп</t>
  </si>
  <si>
    <t>ТТК 5.26</t>
  </si>
  <si>
    <t xml:space="preserve">Спагетти </t>
  </si>
  <si>
    <t xml:space="preserve">Омлет паровой с мясом </t>
  </si>
  <si>
    <t>Огурец свежий</t>
  </si>
  <si>
    <t xml:space="preserve">Масло шоколадное </t>
  </si>
  <si>
    <t>Салат из капусты б/к с огурцом свежим</t>
  </si>
  <si>
    <t xml:space="preserve">Суп картофельный с мясными фрикадельками </t>
  </si>
  <si>
    <t xml:space="preserve">Котлеты Мясные </t>
  </si>
  <si>
    <t>ТТК 5.16</t>
  </si>
  <si>
    <t>Фрукт (порц.)</t>
  </si>
  <si>
    <t>173 [4]</t>
  </si>
  <si>
    <t>7 [5]</t>
  </si>
  <si>
    <t>Салат из фасоли, кукурузы и сухариков</t>
  </si>
  <si>
    <t>ТТК 3.30</t>
  </si>
  <si>
    <t xml:space="preserve">Свекольник со сметаной </t>
  </si>
  <si>
    <t>Сметана</t>
  </si>
  <si>
    <t>ТТК 5.34</t>
  </si>
  <si>
    <t>Йогурт</t>
  </si>
  <si>
    <t>470 [5]</t>
  </si>
  <si>
    <t>Вареники</t>
  </si>
  <si>
    <t>218 [4]</t>
  </si>
  <si>
    <t>Суп лапша по - домашнему</t>
  </si>
  <si>
    <t xml:space="preserve">Наггетсы куриные </t>
  </si>
  <si>
    <t>ТТК 5.23</t>
  </si>
  <si>
    <t xml:space="preserve">Икра овощная (кабачковая) </t>
  </si>
  <si>
    <t xml:space="preserve">Суфле куриное, запеченное со сметаной </t>
  </si>
  <si>
    <t xml:space="preserve">Макароны с сыром </t>
  </si>
  <si>
    <t>54-3г-2020  [2]</t>
  </si>
  <si>
    <t xml:space="preserve">Борщ картофельный с капустой со сметаной </t>
  </si>
  <si>
    <t>Борщ</t>
  </si>
  <si>
    <t>82 [4]</t>
  </si>
  <si>
    <t xml:space="preserve">Оладьи п/ф со сгущенным молоком </t>
  </si>
  <si>
    <t>Оладьи п/ф</t>
  </si>
  <si>
    <t>Сгущеное молоко</t>
  </si>
  <si>
    <r>
      <t>В</t>
    </r>
    <r>
      <rPr>
        <b/>
        <vertAlign val="subscript"/>
        <sz val="14"/>
        <rFont val="Times New Roman"/>
        <family val="1"/>
        <charset val="204"/>
      </rPr>
      <t>1</t>
    </r>
  </si>
  <si>
    <t>200/ 5</t>
  </si>
  <si>
    <t xml:space="preserve">Каша жидкая молочная рисовая </t>
  </si>
  <si>
    <t>ТТК 14.4</t>
  </si>
  <si>
    <t xml:space="preserve">Фрикадельки </t>
  </si>
  <si>
    <t>Каша</t>
  </si>
  <si>
    <t>Масло</t>
  </si>
  <si>
    <t>120 [4]</t>
  </si>
  <si>
    <t>Суп молочный с макаронными изделиями</t>
  </si>
  <si>
    <t>24 [4]</t>
  </si>
  <si>
    <t>Салат из свежих помидоров и огурцов</t>
  </si>
  <si>
    <t xml:space="preserve">Плов </t>
  </si>
  <si>
    <t>265 [4]</t>
  </si>
  <si>
    <t>Сыр (порциями)/</t>
  </si>
  <si>
    <t>Буженина из свинины(порциями)</t>
  </si>
  <si>
    <t>101 [4]</t>
  </si>
  <si>
    <t>Котлеты куриные</t>
  </si>
  <si>
    <t>Картофель по-деревенски</t>
  </si>
  <si>
    <t>ТТК 5.15</t>
  </si>
  <si>
    <t>ТТК 6.4</t>
  </si>
  <si>
    <t>Вареники с картофелем п/ф  со сметаной</t>
  </si>
  <si>
    <t xml:space="preserve">Чай с сахаром и лимоном </t>
  </si>
  <si>
    <t>Огурец соленый/</t>
  </si>
  <si>
    <t xml:space="preserve">Помидор соленый </t>
  </si>
  <si>
    <t>ТТК 3.7</t>
  </si>
  <si>
    <t>ТТК 3.10</t>
  </si>
  <si>
    <t>Рассольник ленинградский с перловой крупой со сметаной</t>
  </si>
  <si>
    <t>Сок</t>
  </si>
  <si>
    <t>418 [5]</t>
  </si>
  <si>
    <t>Помидор свежий</t>
  </si>
  <si>
    <t>ТТК 3.9</t>
  </si>
  <si>
    <t xml:space="preserve">Каша гречневая рассыпчатая </t>
  </si>
  <si>
    <t>Блинчики с начинкой (из п/ф)</t>
  </si>
  <si>
    <t xml:space="preserve">масло сливочное </t>
  </si>
  <si>
    <t xml:space="preserve">Каша "Дружба" </t>
  </si>
  <si>
    <t xml:space="preserve">Каша </t>
  </si>
  <si>
    <t>Салат из капусты белокачанной с кукурузой</t>
  </si>
  <si>
    <t>ТТК 3.18</t>
  </si>
  <si>
    <t>Солянка «Школьная»</t>
  </si>
  <si>
    <t>ТТК 4.4</t>
  </si>
  <si>
    <t>Рыба запеченная с луком по-Ленинградски</t>
  </si>
  <si>
    <t>100 /25</t>
  </si>
  <si>
    <t>250 /20</t>
  </si>
  <si>
    <t>ТТК 3.24</t>
  </si>
  <si>
    <t>Салат из моркови с яблоком</t>
  </si>
  <si>
    <t>100/ 20</t>
  </si>
  <si>
    <t>Сдоб. Бул. Изделие</t>
  </si>
  <si>
    <t>Сдоб. Бул. изделие</t>
  </si>
  <si>
    <t>200/5</t>
  </si>
  <si>
    <t>200/15/7</t>
  </si>
  <si>
    <t>Рыба запеченная с яйцом</t>
  </si>
  <si>
    <t>200/15</t>
  </si>
  <si>
    <t>Салат из запечённой свеклы</t>
  </si>
  <si>
    <t>ТТК 3.12</t>
  </si>
  <si>
    <t>Суп картофельный с гречневой крупой</t>
  </si>
  <si>
    <t>Оладьи п/ф с повидлом</t>
  </si>
  <si>
    <t>ТТК 5.14</t>
  </si>
  <si>
    <t>Колобки мясные с сыром</t>
  </si>
  <si>
    <t xml:space="preserve">Суп картофельный с горохом и   сухариками </t>
  </si>
  <si>
    <t>100 /20</t>
  </si>
  <si>
    <t xml:space="preserve">Вареники ленивые отварные со сметаной </t>
  </si>
  <si>
    <t>150/ 10</t>
  </si>
  <si>
    <t xml:space="preserve">Суп картофельный с горохом  и сухариками </t>
  </si>
  <si>
    <t>150 /10</t>
  </si>
  <si>
    <t>ТТК 3.2</t>
  </si>
  <si>
    <t>Желе из подов и ягод</t>
  </si>
  <si>
    <t>ТТК  5.18</t>
  </si>
  <si>
    <t>Котлеты особые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</si>
</sst>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4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vertAlign val="subscript"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vertAlign val="subscript"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vertAlign val="subscript"/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ash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 style="medium">
        <color indexed="64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indexed="64"/>
      </right>
      <top style="dotted">
        <color auto="1"/>
      </top>
      <bottom style="dotted">
        <color auto="1"/>
      </bottom>
      <diagonal/>
    </border>
  </borders>
  <cellStyleXfs count="1">
    <xf numFmtId="0" fontId="0" fillId="0" borderId="0"/>
  </cellStyleXfs>
  <cellXfs count="278">
    <xf numFmtId="0" fontId="0" fillId="0" borderId="0" xfId="0"/>
    <xf numFmtId="2" fontId="6" fillId="0" borderId="0" xfId="0" applyNumberFormat="1" applyFont="1"/>
    <xf numFmtId="2" fontId="3" fillId="0" borderId="8" xfId="0" applyNumberFormat="1" applyFont="1" applyBorder="1" applyAlignment="1">
      <alignment horizontal="center" vertical="top" wrapText="1"/>
    </xf>
    <xf numFmtId="2" fontId="3" fillId="0" borderId="6" xfId="0" applyNumberFormat="1" applyFont="1" applyBorder="1" applyAlignment="1">
      <alignment horizontal="center" vertical="top" wrapText="1"/>
    </xf>
    <xf numFmtId="2" fontId="3" fillId="0" borderId="9" xfId="0" applyNumberFormat="1" applyFont="1" applyBorder="1" applyAlignment="1">
      <alignment horizontal="center" vertical="top" wrapText="1"/>
    </xf>
    <xf numFmtId="2" fontId="3" fillId="0" borderId="6" xfId="0" applyNumberFormat="1" applyFont="1" applyBorder="1" applyAlignment="1">
      <alignment horizontal="center" wrapText="1"/>
    </xf>
    <xf numFmtId="2" fontId="3" fillId="0" borderId="9" xfId="0" applyNumberFormat="1" applyFont="1" applyBorder="1" applyAlignment="1">
      <alignment horizontal="center" wrapText="1"/>
    </xf>
    <xf numFmtId="2" fontId="5" fillId="0" borderId="6" xfId="0" applyNumberFormat="1" applyFont="1" applyBorder="1" applyAlignment="1">
      <alignment horizontal="center" vertical="top" wrapText="1"/>
    </xf>
    <xf numFmtId="2" fontId="2" fillId="0" borderId="6" xfId="0" applyNumberFormat="1" applyFont="1" applyBorder="1" applyAlignment="1">
      <alignment horizontal="center" wrapTex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justify" vertical="center"/>
    </xf>
    <xf numFmtId="0" fontId="15" fillId="0" borderId="0" xfId="0" applyFont="1" applyAlignment="1"/>
    <xf numFmtId="0" fontId="15" fillId="0" borderId="0" xfId="0" applyFont="1" applyAlignment="1">
      <alignment vertical="center"/>
    </xf>
    <xf numFmtId="0" fontId="15" fillId="0" borderId="0" xfId="0" applyFont="1" applyAlignment="1">
      <alignment vertical="center" wrapText="1"/>
    </xf>
    <xf numFmtId="2" fontId="5" fillId="0" borderId="13" xfId="0" applyNumberFormat="1" applyFont="1" applyBorder="1" applyAlignment="1">
      <alignment horizontal="center" wrapText="1"/>
    </xf>
    <xf numFmtId="2" fontId="5" fillId="0" borderId="13" xfId="0" applyNumberFormat="1" applyFont="1" applyBorder="1" applyAlignment="1">
      <alignment horizontal="center" vertical="top" wrapText="1"/>
    </xf>
    <xf numFmtId="1" fontId="5" fillId="0" borderId="13" xfId="0" applyNumberFormat="1" applyFont="1" applyBorder="1" applyAlignment="1">
      <alignment horizontal="center" vertical="top" wrapText="1"/>
    </xf>
    <xf numFmtId="2" fontId="4" fillId="0" borderId="13" xfId="0" applyNumberFormat="1" applyFont="1" applyBorder="1" applyAlignment="1">
      <alignment horizontal="center" wrapText="1"/>
    </xf>
    <xf numFmtId="2" fontId="4" fillId="0" borderId="13" xfId="0" applyNumberFormat="1" applyFont="1" applyBorder="1" applyAlignment="1">
      <alignment horizontal="center" vertical="top" wrapText="1"/>
    </xf>
    <xf numFmtId="2" fontId="14" fillId="0" borderId="13" xfId="0" applyNumberFormat="1" applyFont="1" applyBorder="1" applyAlignment="1">
      <alignment horizontal="center" wrapText="1"/>
    </xf>
    <xf numFmtId="2" fontId="9" fillId="2" borderId="1" xfId="0" applyNumberFormat="1" applyFont="1" applyFill="1" applyBorder="1"/>
    <xf numFmtId="0" fontId="6" fillId="0" borderId="0" xfId="0" applyFont="1"/>
    <xf numFmtId="10" fontId="6" fillId="0" borderId="0" xfId="0" applyNumberFormat="1" applyFont="1"/>
    <xf numFmtId="0" fontId="5" fillId="0" borderId="13" xfId="0" applyFont="1" applyBorder="1"/>
    <xf numFmtId="0" fontId="5" fillId="0" borderId="1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16" fontId="6" fillId="0" borderId="0" xfId="0" applyNumberFormat="1" applyFont="1"/>
    <xf numFmtId="0" fontId="6" fillId="0" borderId="13" xfId="0" applyFont="1" applyBorder="1"/>
    <xf numFmtId="0" fontId="5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justify" vertical="center" wrapText="1"/>
    </xf>
    <xf numFmtId="2" fontId="17" fillId="2" borderId="0" xfId="0" applyNumberFormat="1" applyFont="1" applyFill="1"/>
    <xf numFmtId="2" fontId="3" fillId="0" borderId="0" xfId="0" applyNumberFormat="1" applyFont="1" applyAlignment="1">
      <alignment vertical="center"/>
    </xf>
    <xf numFmtId="2" fontId="16" fillId="2" borderId="0" xfId="0" applyNumberFormat="1" applyFont="1" applyFill="1"/>
    <xf numFmtId="2" fontId="17" fillId="2" borderId="0" xfId="0" applyNumberFormat="1" applyFont="1" applyFill="1" applyAlignment="1">
      <alignment horizontal="center" vertical="center"/>
    </xf>
    <xf numFmtId="2" fontId="17" fillId="0" borderId="0" xfId="0" applyNumberFormat="1" applyFont="1" applyAlignment="1">
      <alignment vertical="center"/>
    </xf>
    <xf numFmtId="2" fontId="17" fillId="2" borderId="1" xfId="0" applyNumberFormat="1" applyFont="1" applyFill="1" applyBorder="1" applyAlignment="1">
      <alignment horizontal="center" vertical="center" wrapText="1"/>
    </xf>
    <xf numFmtId="2" fontId="16" fillId="2" borderId="0" xfId="0" applyNumberFormat="1" applyFont="1" applyFill="1" applyBorder="1" applyAlignment="1">
      <alignment horizontal="center" vertical="top" wrapText="1"/>
    </xf>
    <xf numFmtId="2" fontId="16" fillId="2" borderId="0" xfId="0" applyNumberFormat="1" applyFont="1" applyFill="1" applyBorder="1" applyAlignment="1">
      <alignment horizontal="center" vertical="center" wrapText="1"/>
    </xf>
    <xf numFmtId="2" fontId="4" fillId="2" borderId="14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2" fontId="16" fillId="2" borderId="16" xfId="0" applyNumberFormat="1" applyFont="1" applyFill="1" applyBorder="1" applyAlignment="1">
      <alignment horizontal="center" vertical="center" wrapText="1"/>
    </xf>
    <xf numFmtId="2" fontId="16" fillId="2" borderId="16" xfId="0" applyNumberFormat="1" applyFont="1" applyFill="1" applyBorder="1" applyAlignment="1">
      <alignment horizontal="left" vertical="center" wrapText="1"/>
    </xf>
    <xf numFmtId="2" fontId="16" fillId="2" borderId="1" xfId="0" applyNumberFormat="1" applyFont="1" applyFill="1" applyBorder="1" applyAlignment="1">
      <alignment vertical="center" wrapText="1"/>
    </xf>
    <xf numFmtId="2" fontId="16" fillId="2" borderId="3" xfId="0" applyNumberFormat="1" applyFont="1" applyFill="1" applyBorder="1" applyAlignment="1">
      <alignment horizontal="center" vertical="center" wrapText="1"/>
    </xf>
    <xf numFmtId="0" fontId="16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wrapText="1"/>
    </xf>
    <xf numFmtId="2" fontId="16" fillId="2" borderId="1" xfId="0" applyNumberFormat="1" applyFont="1" applyFill="1" applyBorder="1" applyAlignment="1">
      <alignment horizontal="left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wrapText="1"/>
    </xf>
    <xf numFmtId="0" fontId="19" fillId="2" borderId="1" xfId="0" applyFont="1" applyFill="1" applyBorder="1" applyAlignment="1">
      <alignment horizontal="justify" wrapText="1"/>
    </xf>
    <xf numFmtId="0" fontId="19" fillId="2" borderId="1" xfId="0" applyFont="1" applyFill="1" applyBorder="1" applyAlignment="1">
      <alignment vertical="top" wrapText="1"/>
    </xf>
    <xf numFmtId="1" fontId="19" fillId="2" borderId="1" xfId="0" applyNumberFormat="1" applyFont="1" applyFill="1" applyBorder="1" applyAlignment="1">
      <alignment horizontal="center" vertical="top" wrapText="1"/>
    </xf>
    <xf numFmtId="2" fontId="21" fillId="2" borderId="1" xfId="0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2" fontId="22" fillId="2" borderId="1" xfId="0" applyNumberFormat="1" applyFont="1" applyFill="1" applyBorder="1" applyAlignment="1">
      <alignment horizontal="center" wrapText="1"/>
    </xf>
    <xf numFmtId="2" fontId="19" fillId="2" borderId="1" xfId="0" applyNumberFormat="1" applyFont="1" applyFill="1" applyBorder="1" applyAlignment="1">
      <alignment horizontal="justify" wrapText="1"/>
    </xf>
    <xf numFmtId="0" fontId="19" fillId="2" borderId="1" xfId="0" applyFont="1" applyFill="1" applyBorder="1" applyAlignment="1">
      <alignment horizontal="center" vertical="center" wrapText="1"/>
    </xf>
    <xf numFmtId="17" fontId="19" fillId="2" borderId="1" xfId="0" applyNumberFormat="1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left" vertical="center" wrapText="1"/>
    </xf>
    <xf numFmtId="1" fontId="19" fillId="2" borderId="1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justify" vertical="top" wrapText="1"/>
    </xf>
    <xf numFmtId="0" fontId="22" fillId="2" borderId="1" xfId="0" applyFont="1" applyFill="1" applyBorder="1" applyAlignment="1">
      <alignment horizontal="center" wrapText="1"/>
    </xf>
    <xf numFmtId="0" fontId="19" fillId="2" borderId="1" xfId="0" applyFont="1" applyFill="1" applyBorder="1" applyAlignment="1">
      <alignment horizontal="left" vertical="top" wrapText="1"/>
    </xf>
    <xf numFmtId="2" fontId="21" fillId="2" borderId="1" xfId="0" applyNumberFormat="1" applyFont="1" applyFill="1" applyBorder="1" applyAlignment="1">
      <alignment horizontal="center" wrapText="1"/>
    </xf>
    <xf numFmtId="0" fontId="21" fillId="2" borderId="1" xfId="0" applyFont="1" applyFill="1" applyBorder="1" applyAlignment="1">
      <alignment horizontal="center" wrapText="1"/>
    </xf>
    <xf numFmtId="0" fontId="22" fillId="2" borderId="1" xfId="0" applyFont="1" applyFill="1" applyBorder="1" applyAlignment="1">
      <alignment horizontal="center" vertical="top" wrapText="1"/>
    </xf>
    <xf numFmtId="0" fontId="19" fillId="2" borderId="1" xfId="0" applyFont="1" applyFill="1" applyBorder="1" applyAlignment="1">
      <alignment horizontal="justify" vertical="center" wrapText="1"/>
    </xf>
    <xf numFmtId="49" fontId="19" fillId="2" borderId="1" xfId="0" applyNumberFormat="1" applyFont="1" applyFill="1" applyBorder="1" applyAlignment="1">
      <alignment horizontal="center" vertical="top" wrapText="1"/>
    </xf>
    <xf numFmtId="0" fontId="23" fillId="2" borderId="1" xfId="0" applyNumberFormat="1" applyFont="1" applyFill="1" applyBorder="1" applyAlignment="1">
      <alignment horizontal="left" vertical="top" wrapText="1"/>
    </xf>
    <xf numFmtId="16" fontId="19" fillId="2" borderId="1" xfId="0" applyNumberFormat="1" applyFont="1" applyFill="1" applyBorder="1" applyAlignment="1">
      <alignment horizontal="center" vertical="top" wrapText="1"/>
    </xf>
    <xf numFmtId="2" fontId="22" fillId="2" borderId="1" xfId="0" applyNumberFormat="1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left" vertical="center" wrapText="1"/>
    </xf>
    <xf numFmtId="1" fontId="22" fillId="2" borderId="1" xfId="0" applyNumberFormat="1" applyFont="1" applyFill="1" applyBorder="1" applyAlignment="1">
      <alignment horizontal="center" wrapText="1"/>
    </xf>
    <xf numFmtId="0" fontId="19" fillId="2" borderId="1" xfId="0" applyFont="1" applyFill="1" applyBorder="1" applyAlignment="1">
      <alignment vertical="center" wrapText="1"/>
    </xf>
    <xf numFmtId="0" fontId="19" fillId="4" borderId="1" xfId="0" applyFont="1" applyFill="1" applyBorder="1" applyAlignment="1">
      <alignment horizontal="center" vertical="top" wrapText="1"/>
    </xf>
    <xf numFmtId="1" fontId="19" fillId="4" borderId="1" xfId="0" applyNumberFormat="1" applyFont="1" applyFill="1" applyBorder="1" applyAlignment="1">
      <alignment horizontal="center" vertical="top" wrapText="1"/>
    </xf>
    <xf numFmtId="2" fontId="19" fillId="4" borderId="1" xfId="0" applyNumberFormat="1" applyFont="1" applyFill="1" applyBorder="1" applyAlignment="1">
      <alignment horizontal="center" wrapText="1"/>
    </xf>
    <xf numFmtId="0" fontId="19" fillId="4" borderId="1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wrapText="1"/>
    </xf>
    <xf numFmtId="2" fontId="22" fillId="2" borderId="1" xfId="0" applyNumberFormat="1" applyFont="1" applyFill="1" applyBorder="1" applyAlignment="1">
      <alignment wrapText="1"/>
    </xf>
    <xf numFmtId="0" fontId="12" fillId="2" borderId="1" xfId="0" applyFont="1" applyFill="1" applyBorder="1" applyAlignment="1">
      <alignment vertical="center" wrapText="1"/>
    </xf>
    <xf numFmtId="164" fontId="13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wrapText="1"/>
    </xf>
    <xf numFmtId="0" fontId="19" fillId="2" borderId="1" xfId="0" applyFont="1" applyFill="1" applyBorder="1" applyAlignment="1">
      <alignment horizontal="center" vertical="top" wrapText="1"/>
    </xf>
    <xf numFmtId="0" fontId="19" fillId="2" borderId="1" xfId="0" applyFont="1" applyFill="1" applyBorder="1" applyAlignment="1">
      <alignment horizontal="center" wrapText="1"/>
    </xf>
    <xf numFmtId="2" fontId="19" fillId="2" borderId="1" xfId="0" applyNumberFormat="1" applyFont="1" applyFill="1" applyBorder="1" applyAlignment="1">
      <alignment horizontal="center" wrapText="1"/>
    </xf>
    <xf numFmtId="0" fontId="22" fillId="2" borderId="19" xfId="0" applyFont="1" applyFill="1" applyBorder="1" applyAlignment="1">
      <alignment wrapText="1"/>
    </xf>
    <xf numFmtId="0" fontId="22" fillId="2" borderId="3" xfId="0" applyFont="1" applyFill="1" applyBorder="1" applyAlignment="1">
      <alignment wrapText="1"/>
    </xf>
    <xf numFmtId="0" fontId="19" fillId="2" borderId="3" xfId="0" applyFont="1" applyFill="1" applyBorder="1" applyAlignment="1">
      <alignment wrapText="1"/>
    </xf>
    <xf numFmtId="1" fontId="22" fillId="2" borderId="3" xfId="0" applyNumberFormat="1" applyFont="1" applyFill="1" applyBorder="1" applyAlignment="1">
      <alignment wrapText="1"/>
    </xf>
    <xf numFmtId="2" fontId="22" fillId="2" borderId="3" xfId="0" applyNumberFormat="1" applyFont="1" applyFill="1" applyBorder="1" applyAlignment="1">
      <alignment wrapText="1"/>
    </xf>
    <xf numFmtId="0" fontId="22" fillId="2" borderId="4" xfId="0" applyFont="1" applyFill="1" applyBorder="1" applyAlignment="1">
      <alignment wrapText="1"/>
    </xf>
    <xf numFmtId="0" fontId="9" fillId="2" borderId="1" xfId="0" applyFont="1" applyFill="1" applyBorder="1"/>
    <xf numFmtId="49" fontId="12" fillId="2" borderId="1" xfId="0" applyNumberFormat="1" applyFont="1" applyFill="1" applyBorder="1" applyAlignment="1">
      <alignment horizont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165" fontId="21" fillId="2" borderId="1" xfId="0" applyNumberFormat="1" applyFont="1" applyFill="1" applyBorder="1" applyAlignment="1">
      <alignment horizontal="center" vertical="center" wrapText="1"/>
    </xf>
    <xf numFmtId="164" fontId="21" fillId="2" borderId="1" xfId="0" applyNumberFormat="1" applyFont="1" applyFill="1" applyBorder="1" applyAlignment="1">
      <alignment horizontal="center" vertical="center" wrapText="1"/>
    </xf>
    <xf numFmtId="2" fontId="21" fillId="2" borderId="1" xfId="0" applyNumberFormat="1" applyFont="1" applyFill="1" applyBorder="1" applyAlignment="1">
      <alignment horizontal="center" vertical="top" wrapText="1"/>
    </xf>
    <xf numFmtId="0" fontId="21" fillId="2" borderId="1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wrapText="1"/>
    </xf>
    <xf numFmtId="0" fontId="23" fillId="2" borderId="1" xfId="0" applyFont="1" applyFill="1" applyBorder="1" applyAlignment="1">
      <alignment vertical="top" wrapText="1"/>
    </xf>
    <xf numFmtId="0" fontId="12" fillId="2" borderId="1" xfId="0" applyFont="1" applyFill="1" applyBorder="1" applyAlignment="1">
      <alignment horizontal="left" wrapText="1"/>
    </xf>
    <xf numFmtId="0" fontId="9" fillId="2" borderId="4" xfId="0" applyFont="1" applyFill="1" applyBorder="1"/>
    <xf numFmtId="0" fontId="9" fillId="2" borderId="4" xfId="0" applyFont="1" applyFill="1" applyBorder="1" applyAlignment="1">
      <alignment vertical="center"/>
    </xf>
    <xf numFmtId="1" fontId="9" fillId="2" borderId="1" xfId="0" applyNumberFormat="1" applyFont="1" applyFill="1" applyBorder="1"/>
    <xf numFmtId="2" fontId="19" fillId="2" borderId="1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top" wrapText="1"/>
    </xf>
    <xf numFmtId="0" fontId="19" fillId="2" borderId="1" xfId="0" applyFont="1" applyFill="1" applyBorder="1" applyAlignment="1">
      <alignment horizontal="center" wrapText="1"/>
    </xf>
    <xf numFmtId="1" fontId="19" fillId="2" borderId="1" xfId="0" applyNumberFormat="1" applyFont="1" applyFill="1" applyBorder="1" applyAlignment="1">
      <alignment horizontal="center" wrapText="1"/>
    </xf>
    <xf numFmtId="2" fontId="19" fillId="2" borderId="1" xfId="0" applyNumberFormat="1" applyFont="1" applyFill="1" applyBorder="1" applyAlignment="1">
      <alignment horizontal="center" wrapText="1"/>
    </xf>
    <xf numFmtId="2" fontId="16" fillId="2" borderId="1" xfId="0" applyNumberFormat="1" applyFont="1" applyFill="1" applyBorder="1" applyAlignment="1">
      <alignment horizontal="center" vertical="center" wrapText="1"/>
    </xf>
    <xf numFmtId="1" fontId="16" fillId="2" borderId="1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/>
    </xf>
    <xf numFmtId="1" fontId="19" fillId="3" borderId="1" xfId="0" applyNumberFormat="1" applyFont="1" applyFill="1" applyBorder="1" applyAlignment="1">
      <alignment horizontal="center" vertical="center" wrapText="1"/>
    </xf>
    <xf numFmtId="0" fontId="22" fillId="2" borderId="4" xfId="0" applyFont="1" applyFill="1" applyBorder="1"/>
    <xf numFmtId="0" fontId="9" fillId="2" borderId="0" xfId="0" applyFont="1" applyFill="1" applyBorder="1"/>
    <xf numFmtId="0" fontId="2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/>
    <xf numFmtId="0" fontId="22" fillId="2" borderId="0" xfId="0" applyFont="1" applyFill="1" applyBorder="1"/>
    <xf numFmtId="0" fontId="8" fillId="2" borderId="0" xfId="0" applyFont="1" applyFill="1" applyBorder="1" applyAlignment="1">
      <alignment wrapText="1"/>
    </xf>
    <xf numFmtId="0" fontId="9" fillId="2" borderId="0" xfId="0" applyFont="1" applyFill="1" applyBorder="1" applyAlignment="1">
      <alignment vertical="center"/>
    </xf>
    <xf numFmtId="2" fontId="9" fillId="2" borderId="0" xfId="0" applyNumberFormat="1" applyFont="1" applyFill="1" applyBorder="1"/>
    <xf numFmtId="0" fontId="10" fillId="2" borderId="0" xfId="0" applyFont="1" applyFill="1" applyBorder="1" applyAlignment="1">
      <alignment vertical="center" wrapText="1"/>
    </xf>
    <xf numFmtId="1" fontId="9" fillId="2" borderId="0" xfId="0" applyNumberFormat="1" applyFont="1" applyFill="1" applyBorder="1"/>
    <xf numFmtId="0" fontId="22" fillId="2" borderId="20" xfId="0" applyFont="1" applyFill="1" applyBorder="1" applyAlignment="1">
      <alignment wrapText="1"/>
    </xf>
    <xf numFmtId="0" fontId="19" fillId="2" borderId="21" xfId="0" applyFont="1" applyFill="1" applyBorder="1" applyAlignment="1">
      <alignment horizontal="center" wrapText="1"/>
    </xf>
    <xf numFmtId="2" fontId="21" fillId="2" borderId="21" xfId="0" applyNumberFormat="1" applyFont="1" applyFill="1" applyBorder="1" applyAlignment="1">
      <alignment horizontal="center" vertical="center" wrapText="1"/>
    </xf>
    <xf numFmtId="0" fontId="21" fillId="2" borderId="21" xfId="0" applyFont="1" applyFill="1" applyBorder="1" applyAlignment="1">
      <alignment horizontal="center" vertical="center" wrapText="1"/>
    </xf>
    <xf numFmtId="164" fontId="21" fillId="2" borderId="21" xfId="0" applyNumberFormat="1" applyFont="1" applyFill="1" applyBorder="1" applyAlignment="1">
      <alignment horizontal="center" vertical="center" wrapText="1"/>
    </xf>
    <xf numFmtId="2" fontId="19" fillId="2" borderId="21" xfId="0" applyNumberFormat="1" applyFont="1" applyFill="1" applyBorder="1" applyAlignment="1">
      <alignment horizontal="center" vertical="center" wrapText="1"/>
    </xf>
    <xf numFmtId="0" fontId="21" fillId="2" borderId="21" xfId="0" applyFont="1" applyFill="1" applyBorder="1" applyAlignment="1">
      <alignment horizontal="center" wrapText="1"/>
    </xf>
    <xf numFmtId="2" fontId="13" fillId="2" borderId="21" xfId="0" applyNumberFormat="1" applyFont="1" applyFill="1" applyBorder="1" applyAlignment="1">
      <alignment horizontal="center" vertical="center" wrapText="1"/>
    </xf>
    <xf numFmtId="2" fontId="21" fillId="2" borderId="21" xfId="0" applyNumberFormat="1" applyFont="1" applyFill="1" applyBorder="1" applyAlignment="1">
      <alignment horizontal="center" vertical="top" wrapText="1"/>
    </xf>
    <xf numFmtId="164" fontId="13" fillId="2" borderId="21" xfId="0" applyNumberFormat="1" applyFont="1" applyFill="1" applyBorder="1" applyAlignment="1">
      <alignment horizontal="center" vertical="center" wrapText="1"/>
    </xf>
    <xf numFmtId="0" fontId="21" fillId="2" borderId="21" xfId="0" applyFont="1" applyFill="1" applyBorder="1" applyAlignment="1">
      <alignment horizontal="center" vertical="top" wrapText="1"/>
    </xf>
    <xf numFmtId="2" fontId="22" fillId="2" borderId="21" xfId="0" applyNumberFormat="1" applyFont="1" applyFill="1" applyBorder="1" applyAlignment="1">
      <alignment horizontal="center" wrapText="1"/>
    </xf>
    <xf numFmtId="2" fontId="22" fillId="2" borderId="21" xfId="0" applyNumberFormat="1" applyFont="1" applyFill="1" applyBorder="1" applyAlignment="1">
      <alignment wrapText="1"/>
    </xf>
    <xf numFmtId="0" fontId="22" fillId="2" borderId="21" xfId="0" applyFont="1" applyFill="1" applyBorder="1" applyAlignment="1">
      <alignment horizontal="center" wrapText="1"/>
    </xf>
    <xf numFmtId="2" fontId="19" fillId="2" borderId="21" xfId="0" applyNumberFormat="1" applyFont="1" applyFill="1" applyBorder="1" applyAlignment="1">
      <alignment horizontal="center" wrapText="1"/>
    </xf>
    <xf numFmtId="0" fontId="19" fillId="2" borderId="21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wrapText="1"/>
    </xf>
    <xf numFmtId="2" fontId="22" fillId="2" borderId="21" xfId="0" applyNumberFormat="1" applyFont="1" applyFill="1" applyBorder="1" applyAlignment="1">
      <alignment horizontal="center" vertical="center" wrapText="1"/>
    </xf>
    <xf numFmtId="0" fontId="22" fillId="2" borderId="21" xfId="0" applyFont="1" applyFill="1" applyBorder="1" applyAlignment="1">
      <alignment horizontal="center" vertical="center" wrapText="1"/>
    </xf>
    <xf numFmtId="0" fontId="19" fillId="4" borderId="21" xfId="0" applyFont="1" applyFill="1" applyBorder="1" applyAlignment="1">
      <alignment horizontal="center" wrapText="1"/>
    </xf>
    <xf numFmtId="0" fontId="9" fillId="2" borderId="21" xfId="0" applyFont="1" applyFill="1" applyBorder="1"/>
    <xf numFmtId="0" fontId="9" fillId="2" borderId="14" xfId="0" applyFont="1" applyFill="1" applyBorder="1"/>
    <xf numFmtId="0" fontId="9" fillId="2" borderId="2" xfId="0" applyFont="1" applyFill="1" applyBorder="1"/>
    <xf numFmtId="0" fontId="8" fillId="2" borderId="2" xfId="0" applyFont="1" applyFill="1" applyBorder="1" applyAlignment="1">
      <alignment wrapText="1"/>
    </xf>
    <xf numFmtId="1" fontId="9" fillId="2" borderId="2" xfId="0" applyNumberFormat="1" applyFont="1" applyFill="1" applyBorder="1"/>
    <xf numFmtId="2" fontId="9" fillId="2" borderId="2" xfId="0" applyNumberFormat="1" applyFont="1" applyFill="1" applyBorder="1"/>
    <xf numFmtId="0" fontId="9" fillId="2" borderId="22" xfId="0" applyFont="1" applyFill="1" applyBorder="1"/>
    <xf numFmtId="2" fontId="19" fillId="2" borderId="1" xfId="0" applyNumberFormat="1" applyFont="1" applyFill="1" applyBorder="1" applyAlignment="1">
      <alignment horizontal="center" vertical="top" wrapText="1"/>
    </xf>
    <xf numFmtId="2" fontId="22" fillId="2" borderId="1" xfId="0" applyNumberFormat="1" applyFont="1" applyFill="1" applyBorder="1"/>
    <xf numFmtId="2" fontId="16" fillId="2" borderId="1" xfId="0" applyNumberFormat="1" applyFont="1" applyFill="1" applyBorder="1" applyAlignment="1">
      <alignment horizontal="center" vertical="center" wrapText="1"/>
    </xf>
    <xf numFmtId="49" fontId="12" fillId="2" borderId="23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left" vertical="center"/>
    </xf>
    <xf numFmtId="0" fontId="21" fillId="2" borderId="24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/>
    </xf>
    <xf numFmtId="0" fontId="21" fillId="2" borderId="24" xfId="0" applyFont="1" applyFill="1" applyBorder="1" applyAlignment="1">
      <alignment horizontal="center" vertical="top" wrapText="1"/>
    </xf>
    <xf numFmtId="49" fontId="12" fillId="2" borderId="23" xfId="0" applyNumberFormat="1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left" vertical="top" wrapText="1"/>
    </xf>
    <xf numFmtId="2" fontId="21" fillId="2" borderId="24" xfId="0" applyNumberFormat="1" applyFont="1" applyFill="1" applyBorder="1" applyAlignment="1">
      <alignment horizontal="center" vertical="center" wrapText="1"/>
    </xf>
    <xf numFmtId="2" fontId="19" fillId="2" borderId="1" xfId="0" applyNumberFormat="1" applyFont="1" applyFill="1" applyBorder="1" applyAlignment="1">
      <alignment horizontal="left" vertical="top" wrapText="1"/>
    </xf>
    <xf numFmtId="2" fontId="22" fillId="2" borderId="1" xfId="0" applyNumberFormat="1" applyFont="1" applyFill="1" applyBorder="1" applyAlignment="1">
      <alignment horizontal="center" vertical="top" wrapText="1"/>
    </xf>
    <xf numFmtId="2" fontId="22" fillId="2" borderId="21" xfId="0" applyNumberFormat="1" applyFont="1" applyFill="1" applyBorder="1" applyAlignment="1">
      <alignment horizontal="center" vertical="top" wrapText="1"/>
    </xf>
    <xf numFmtId="2" fontId="21" fillId="2" borderId="24" xfId="0" applyNumberFormat="1" applyFont="1" applyFill="1" applyBorder="1" applyAlignment="1">
      <alignment horizontal="center" wrapText="1"/>
    </xf>
    <xf numFmtId="2" fontId="21" fillId="2" borderId="25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/>
    </xf>
    <xf numFmtId="1" fontId="21" fillId="2" borderId="1" xfId="0" applyNumberFormat="1" applyFont="1" applyFill="1" applyBorder="1" applyAlignment="1">
      <alignment horizontal="center" vertical="top" wrapText="1"/>
    </xf>
    <xf numFmtId="0" fontId="12" fillId="2" borderId="1" xfId="0" applyNumberFormat="1" applyFont="1" applyFill="1" applyBorder="1" applyAlignment="1">
      <alignment horizontal="left" wrapText="1"/>
    </xf>
    <xf numFmtId="1" fontId="21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/>
    </xf>
    <xf numFmtId="49" fontId="12" fillId="2" borderId="1" xfId="0" applyNumberFormat="1" applyFont="1" applyFill="1" applyBorder="1" applyAlignment="1">
      <alignment horizontal="center"/>
    </xf>
    <xf numFmtId="0" fontId="23" fillId="2" borderId="1" xfId="0" applyFont="1" applyFill="1" applyBorder="1" applyAlignment="1">
      <alignment horizontal="left"/>
    </xf>
    <xf numFmtId="164" fontId="13" fillId="2" borderId="1" xfId="0" applyNumberFormat="1" applyFont="1" applyFill="1" applyBorder="1" applyAlignment="1">
      <alignment horizontal="center"/>
    </xf>
    <xf numFmtId="164" fontId="13" fillId="2" borderId="24" xfId="0" applyNumberFormat="1" applyFont="1" applyFill="1" applyBorder="1" applyAlignment="1">
      <alignment horizontal="center"/>
    </xf>
    <xf numFmtId="0" fontId="12" fillId="2" borderId="1" xfId="0" applyFont="1" applyFill="1" applyBorder="1" applyAlignment="1"/>
    <xf numFmtId="2" fontId="2" fillId="2" borderId="0" xfId="0" applyNumberFormat="1" applyFont="1" applyFill="1" applyBorder="1" applyAlignment="1">
      <alignment horizontal="center" vertical="center" wrapText="1"/>
    </xf>
    <xf numFmtId="0" fontId="21" fillId="2" borderId="24" xfId="0" applyFont="1" applyFill="1" applyBorder="1" applyAlignment="1">
      <alignment horizontal="center" wrapText="1"/>
    </xf>
    <xf numFmtId="0" fontId="21" fillId="2" borderId="0" xfId="0" applyFont="1" applyFill="1" applyBorder="1" applyAlignment="1">
      <alignment vertical="center" wrapText="1"/>
    </xf>
    <xf numFmtId="0" fontId="22" fillId="2" borderId="1" xfId="0" applyFont="1" applyFill="1" applyBorder="1"/>
    <xf numFmtId="1" fontId="22" fillId="2" borderId="1" xfId="0" applyNumberFormat="1" applyFont="1" applyFill="1" applyBorder="1"/>
    <xf numFmtId="0" fontId="22" fillId="2" borderId="21" xfId="0" applyFont="1" applyFill="1" applyBorder="1"/>
    <xf numFmtId="2" fontId="13" fillId="2" borderId="24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24" xfId="0" applyFont="1" applyFill="1" applyBorder="1" applyAlignment="1">
      <alignment horizontal="center" vertical="center"/>
    </xf>
    <xf numFmtId="49" fontId="1" fillId="2" borderId="23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 wrapText="1"/>
    </xf>
    <xf numFmtId="2" fontId="3" fillId="2" borderId="0" xfId="0" applyNumberFormat="1" applyFont="1" applyFill="1" applyAlignment="1">
      <alignment vertical="center"/>
    </xf>
    <xf numFmtId="2" fontId="3" fillId="2" borderId="1" xfId="0" applyNumberFormat="1" applyFont="1" applyFill="1" applyBorder="1" applyAlignment="1">
      <alignment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2" fontId="17" fillId="2" borderId="0" xfId="0" applyNumberFormat="1" applyFont="1" applyFill="1" applyAlignment="1">
      <alignment vertical="center"/>
    </xf>
    <xf numFmtId="0" fontId="19" fillId="2" borderId="1" xfId="0" applyFont="1" applyFill="1" applyBorder="1" applyAlignment="1">
      <alignment horizontal="center" vertical="top" wrapText="1"/>
    </xf>
    <xf numFmtId="0" fontId="19" fillId="2" borderId="1" xfId="0" applyFont="1" applyFill="1" applyBorder="1" applyAlignment="1">
      <alignment horizontal="center" wrapText="1"/>
    </xf>
    <xf numFmtId="1" fontId="19" fillId="2" borderId="1" xfId="0" applyNumberFormat="1" applyFont="1" applyFill="1" applyBorder="1" applyAlignment="1">
      <alignment horizontal="center" wrapText="1"/>
    </xf>
    <xf numFmtId="2" fontId="16" fillId="2" borderId="1" xfId="0" applyNumberFormat="1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2" fontId="21" fillId="3" borderId="1" xfId="0" applyNumberFormat="1" applyFont="1" applyFill="1" applyBorder="1" applyAlignment="1">
      <alignment horizontal="center" vertical="center" wrapText="1"/>
    </xf>
    <xf numFmtId="164" fontId="13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1" fontId="19" fillId="3" borderId="1" xfId="0" applyNumberFormat="1" applyFont="1" applyFill="1" applyBorder="1" applyAlignment="1">
      <alignment horizontal="center" wrapText="1"/>
    </xf>
    <xf numFmtId="0" fontId="21" fillId="3" borderId="1" xfId="0" applyFont="1" applyFill="1" applyBorder="1" applyAlignment="1">
      <alignment horizontal="center" wrapText="1"/>
    </xf>
    <xf numFmtId="2" fontId="21" fillId="3" borderId="1" xfId="0" applyNumberFormat="1" applyFont="1" applyFill="1" applyBorder="1" applyAlignment="1">
      <alignment horizontal="center" vertical="top" wrapText="1"/>
    </xf>
    <xf numFmtId="1" fontId="21" fillId="3" borderId="1" xfId="0" applyNumberFormat="1" applyFont="1" applyFill="1" applyBorder="1" applyAlignment="1">
      <alignment horizontal="center" vertical="top" wrapText="1"/>
    </xf>
    <xf numFmtId="2" fontId="13" fillId="2" borderId="1" xfId="0" applyNumberFormat="1" applyFont="1" applyFill="1" applyBorder="1" applyAlignment="1">
      <alignment horizontal="center" wrapText="1"/>
    </xf>
    <xf numFmtId="0" fontId="21" fillId="0" borderId="1" xfId="0" applyFont="1" applyFill="1" applyBorder="1" applyAlignment="1">
      <alignment horizontal="center" vertical="center" wrapText="1"/>
    </xf>
    <xf numFmtId="2" fontId="21" fillId="3" borderId="1" xfId="0" applyNumberFormat="1" applyFont="1" applyFill="1" applyBorder="1" applyAlignment="1">
      <alignment horizontal="center" wrapText="1"/>
    </xf>
    <xf numFmtId="2" fontId="13" fillId="3" borderId="1" xfId="0" applyNumberFormat="1" applyFont="1" applyFill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center" wrapText="1"/>
    </xf>
    <xf numFmtId="1" fontId="19" fillId="2" borderId="1" xfId="0" applyNumberFormat="1" applyFont="1" applyFill="1" applyBorder="1" applyAlignment="1">
      <alignment horizontal="center" wrapText="1"/>
    </xf>
    <xf numFmtId="2" fontId="19" fillId="2" borderId="1" xfId="0" applyNumberFormat="1" applyFont="1" applyFill="1" applyBorder="1" applyAlignment="1">
      <alignment horizontal="center" wrapText="1"/>
    </xf>
    <xf numFmtId="2" fontId="16" fillId="2" borderId="1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top" wrapText="1"/>
    </xf>
    <xf numFmtId="1" fontId="19" fillId="2" borderId="1" xfId="0" applyNumberFormat="1" applyFont="1" applyFill="1" applyBorder="1" applyAlignment="1">
      <alignment horizontal="center" wrapText="1"/>
    </xf>
    <xf numFmtId="2" fontId="16" fillId="2" borderId="1" xfId="0" applyNumberFormat="1" applyFont="1" applyFill="1" applyBorder="1" applyAlignment="1">
      <alignment horizontal="center" vertical="center" wrapText="1"/>
    </xf>
    <xf numFmtId="0" fontId="17" fillId="2" borderId="0" xfId="0" applyNumberFormat="1" applyFont="1" applyFill="1"/>
    <xf numFmtId="0" fontId="16" fillId="2" borderId="1" xfId="0" applyNumberFormat="1" applyFont="1" applyFill="1" applyBorder="1" applyAlignment="1">
      <alignment horizontal="center" vertical="center" wrapText="1"/>
    </xf>
    <xf numFmtId="0" fontId="16" fillId="2" borderId="0" xfId="0" applyNumberFormat="1" applyFont="1" applyFill="1" applyBorder="1" applyAlignment="1">
      <alignment horizontal="center" vertical="top" wrapText="1"/>
    </xf>
    <xf numFmtId="0" fontId="17" fillId="2" borderId="1" xfId="0" applyNumberFormat="1" applyFont="1" applyFill="1" applyBorder="1" applyAlignment="1">
      <alignment horizontal="center" vertical="center" wrapText="1"/>
    </xf>
    <xf numFmtId="0" fontId="16" fillId="2" borderId="16" xfId="0" applyNumberFormat="1" applyFont="1" applyFill="1" applyBorder="1" applyAlignment="1">
      <alignment horizontal="center" vertical="center" wrapText="1"/>
    </xf>
    <xf numFmtId="0" fontId="17" fillId="2" borderId="0" xfId="0" applyNumberFormat="1" applyFont="1" applyFill="1" applyAlignment="1">
      <alignment vertical="center"/>
    </xf>
    <xf numFmtId="0" fontId="17" fillId="0" borderId="0" xfId="0" applyNumberFormat="1" applyFont="1" applyAlignment="1">
      <alignment vertical="center"/>
    </xf>
    <xf numFmtId="2" fontId="16" fillId="2" borderId="21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top" wrapText="1"/>
    </xf>
    <xf numFmtId="1" fontId="19" fillId="2" borderId="1" xfId="0" applyNumberFormat="1" applyFont="1" applyFill="1" applyBorder="1" applyAlignment="1">
      <alignment horizontal="center" wrapText="1"/>
    </xf>
    <xf numFmtId="2" fontId="16" fillId="2" borderId="1" xfId="0" applyNumberFormat="1" applyFont="1" applyFill="1" applyBorder="1" applyAlignment="1">
      <alignment horizontal="center" vertical="center" wrapText="1"/>
    </xf>
    <xf numFmtId="0" fontId="16" fillId="2" borderId="1" xfId="0" applyNumberFormat="1" applyFont="1" applyFill="1" applyBorder="1" applyAlignment="1">
      <alignment horizontal="center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top" wrapText="1"/>
    </xf>
    <xf numFmtId="0" fontId="19" fillId="2" borderId="21" xfId="0" applyFont="1" applyFill="1" applyBorder="1" applyAlignment="1">
      <alignment horizontal="center" vertical="top" wrapText="1"/>
    </xf>
    <xf numFmtId="0" fontId="19" fillId="2" borderId="1" xfId="0" applyFont="1" applyFill="1" applyBorder="1" applyAlignment="1">
      <alignment horizontal="center" wrapText="1"/>
    </xf>
    <xf numFmtId="1" fontId="19" fillId="2" borderId="1" xfId="0" applyNumberFormat="1" applyFont="1" applyFill="1" applyBorder="1" applyAlignment="1">
      <alignment horizontal="center" wrapText="1"/>
    </xf>
    <xf numFmtId="2" fontId="19" fillId="2" borderId="1" xfId="0" applyNumberFormat="1" applyFont="1" applyFill="1" applyBorder="1" applyAlignment="1">
      <alignment horizontal="center" wrapText="1"/>
    </xf>
    <xf numFmtId="0" fontId="19" fillId="2" borderId="2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21" xfId="0" applyFont="1" applyFill="1" applyBorder="1" applyAlignment="1">
      <alignment horizontal="center" vertical="top" wrapText="1"/>
    </xf>
    <xf numFmtId="2" fontId="16" fillId="2" borderId="1" xfId="0" applyNumberFormat="1" applyFont="1" applyFill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horizontal="center" wrapText="1"/>
    </xf>
    <xf numFmtId="0" fontId="16" fillId="2" borderId="1" xfId="0" applyNumberFormat="1" applyFont="1" applyFill="1" applyBorder="1" applyAlignment="1">
      <alignment horizontal="center" wrapText="1"/>
    </xf>
    <xf numFmtId="0" fontId="16" fillId="2" borderId="1" xfId="0" applyNumberFormat="1" applyFont="1" applyFill="1" applyBorder="1" applyAlignment="1">
      <alignment horizontal="center" vertical="center" wrapText="1"/>
    </xf>
    <xf numFmtId="2" fontId="16" fillId="2" borderId="15" xfId="0" applyNumberFormat="1" applyFont="1" applyFill="1" applyBorder="1" applyAlignment="1">
      <alignment horizontal="center" vertical="center" wrapText="1"/>
    </xf>
    <xf numFmtId="2" fontId="16" fillId="2" borderId="2" xfId="0" applyNumberFormat="1" applyFont="1" applyFill="1" applyBorder="1" applyAlignment="1">
      <alignment horizontal="center" vertical="center" wrapText="1"/>
    </xf>
    <xf numFmtId="2" fontId="12" fillId="0" borderId="0" xfId="0" applyNumberFormat="1" applyFont="1" applyBorder="1" applyAlignment="1">
      <alignment horizontal="center" wrapText="1"/>
    </xf>
    <xf numFmtId="2" fontId="3" fillId="0" borderId="5" xfId="0" applyNumberFormat="1" applyFont="1" applyBorder="1" applyAlignment="1">
      <alignment horizontal="center" vertical="top" wrapText="1"/>
    </xf>
    <xf numFmtId="2" fontId="3" fillId="0" borderId="7" xfId="0" applyNumberFormat="1" applyFont="1" applyBorder="1" applyAlignment="1">
      <alignment horizontal="center" vertical="top" wrapText="1"/>
    </xf>
    <xf numFmtId="2" fontId="3" fillId="0" borderId="11" xfId="0" applyNumberFormat="1" applyFont="1" applyBorder="1" applyAlignment="1">
      <alignment horizontal="center" vertical="top" wrapText="1"/>
    </xf>
    <xf numFmtId="2" fontId="5" fillId="0" borderId="10" xfId="0" applyNumberFormat="1" applyFont="1" applyBorder="1" applyAlignment="1">
      <alignment horizontal="center" vertical="top" wrapText="1"/>
    </xf>
    <xf numFmtId="2" fontId="5" fillId="0" borderId="12" xfId="0" applyNumberFormat="1" applyFont="1" applyBorder="1" applyAlignment="1">
      <alignment horizontal="center" vertical="top" wrapText="1"/>
    </xf>
    <xf numFmtId="2" fontId="5" fillId="0" borderId="9" xfId="0" applyNumberFormat="1" applyFont="1" applyBorder="1" applyAlignment="1">
      <alignment horizontal="center" vertical="top" wrapText="1"/>
    </xf>
    <xf numFmtId="2" fontId="5" fillId="0" borderId="13" xfId="0" applyNumberFormat="1" applyFont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6" fillId="0" borderId="13" xfId="0" applyFont="1" applyBorder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51"/>
  <sheetViews>
    <sheetView view="pageBreakPreview" zoomScaleNormal="115" zoomScaleSheetLayoutView="100" workbookViewId="0">
      <pane ySplit="3" topLeftCell="A175" activePane="bottomLeft" state="frozen"/>
      <selection pane="bottomLeft" activeCell="B146" sqref="B146:P146"/>
    </sheetView>
  </sheetViews>
  <sheetFormatPr defaultColWidth="9.140625" defaultRowHeight="15"/>
  <cols>
    <col min="1" max="1" width="4.28515625" style="130" customWidth="1"/>
    <col min="2" max="2" width="13.5703125" style="130" customWidth="1"/>
    <col min="3" max="3" width="42.140625" style="135" customWidth="1"/>
    <col min="4" max="4" width="9.140625" style="139"/>
    <col min="5" max="5" width="8.5703125" style="137" customWidth="1"/>
    <col min="6" max="6" width="9.28515625" style="130" customWidth="1"/>
    <col min="7" max="7" width="10.5703125" style="137" customWidth="1"/>
    <col min="8" max="8" width="14.28515625" style="137" customWidth="1"/>
    <col min="9" max="9" width="8" style="130" customWidth="1"/>
    <col min="10" max="10" width="9.5703125" style="130" customWidth="1"/>
    <col min="11" max="11" width="9.7109375" style="130" customWidth="1"/>
    <col min="12" max="12" width="7.42578125" style="130" customWidth="1"/>
    <col min="13" max="13" width="11.140625" style="130" customWidth="1"/>
    <col min="14" max="14" width="12.5703125" style="130" customWidth="1"/>
    <col min="15" max="15" width="9.7109375" style="130" customWidth="1"/>
    <col min="16" max="16" width="7.85546875" style="130" customWidth="1"/>
    <col min="17" max="17" width="13.85546875" style="137" customWidth="1"/>
    <col min="18" max="20" width="9.140625" style="130"/>
    <col min="21" max="30" width="0" style="130" hidden="1" customWidth="1"/>
    <col min="31" max="16384" width="9.140625" style="130"/>
  </cols>
  <sheetData>
    <row r="1" spans="1:17" ht="18.75">
      <c r="A1" s="98"/>
      <c r="B1" s="99"/>
      <c r="C1" s="100"/>
      <c r="D1" s="101"/>
      <c r="E1" s="102"/>
      <c r="F1" s="99"/>
      <c r="G1" s="102"/>
      <c r="H1" s="102"/>
      <c r="I1" s="99"/>
      <c r="J1" s="99"/>
      <c r="K1" s="99"/>
      <c r="L1" s="99"/>
      <c r="M1" s="99"/>
      <c r="N1" s="99"/>
      <c r="O1" s="99"/>
      <c r="P1" s="140"/>
    </row>
    <row r="2" spans="1:17" ht="39.75" customHeight="1">
      <c r="A2" s="103"/>
      <c r="B2" s="249" t="s">
        <v>0</v>
      </c>
      <c r="C2" s="249" t="s">
        <v>1</v>
      </c>
      <c r="D2" s="250" t="s">
        <v>2</v>
      </c>
      <c r="E2" s="249" t="s">
        <v>3</v>
      </c>
      <c r="F2" s="249"/>
      <c r="G2" s="249"/>
      <c r="H2" s="251" t="s">
        <v>4</v>
      </c>
      <c r="I2" s="249" t="s">
        <v>5</v>
      </c>
      <c r="J2" s="249"/>
      <c r="K2" s="249"/>
      <c r="L2" s="249"/>
      <c r="M2" s="249" t="s">
        <v>6</v>
      </c>
      <c r="N2" s="249"/>
      <c r="O2" s="249"/>
      <c r="P2" s="252"/>
    </row>
    <row r="3" spans="1:17" ht="51.6" customHeight="1">
      <c r="A3" s="103"/>
      <c r="B3" s="249"/>
      <c r="C3" s="249"/>
      <c r="D3" s="250"/>
      <c r="E3" s="97" t="s">
        <v>7</v>
      </c>
      <c r="F3" s="96" t="s">
        <v>8</v>
      </c>
      <c r="G3" s="97" t="s">
        <v>9</v>
      </c>
      <c r="H3" s="251"/>
      <c r="I3" s="96" t="s">
        <v>241</v>
      </c>
      <c r="J3" s="96" t="s">
        <v>10</v>
      </c>
      <c r="K3" s="96" t="s">
        <v>11</v>
      </c>
      <c r="L3" s="96" t="s">
        <v>12</v>
      </c>
      <c r="M3" s="96" t="s">
        <v>13</v>
      </c>
      <c r="N3" s="96" t="s">
        <v>14</v>
      </c>
      <c r="O3" s="96" t="s">
        <v>15</v>
      </c>
      <c r="P3" s="141" t="s">
        <v>16</v>
      </c>
    </row>
    <row r="4" spans="1:17" ht="18.75">
      <c r="A4" s="103"/>
      <c r="B4" s="247" t="s">
        <v>17</v>
      </c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8"/>
    </row>
    <row r="5" spans="1:17" ht="41.45" customHeight="1">
      <c r="A5" s="103">
        <v>1</v>
      </c>
      <c r="B5" s="95" t="s">
        <v>201</v>
      </c>
      <c r="C5" s="57" t="s">
        <v>175</v>
      </c>
      <c r="D5" s="128">
        <v>200</v>
      </c>
      <c r="E5" s="224">
        <f>(E6*2+E7*0.05)/2.05</f>
        <v>5.6390243902439021</v>
      </c>
      <c r="F5" s="224">
        <v>6.6</v>
      </c>
      <c r="G5" s="224">
        <f t="shared" ref="G5:P5" si="0">(G6*2+G7*0.05)/2.05</f>
        <v>22.743902439024392</v>
      </c>
      <c r="H5" s="224">
        <f t="shared" si="0"/>
        <v>172.73414634146343</v>
      </c>
      <c r="I5" s="224">
        <f t="shared" si="0"/>
        <v>2.9512195121951221E-2</v>
      </c>
      <c r="J5" s="224">
        <f t="shared" si="0"/>
        <v>3.1219512195121957</v>
      </c>
      <c r="K5" s="224">
        <f t="shared" si="0"/>
        <v>0.20487804878048785</v>
      </c>
      <c r="L5" s="224">
        <f t="shared" si="0"/>
        <v>1</v>
      </c>
      <c r="M5" s="224">
        <f t="shared" si="0"/>
        <v>85.102439024390236</v>
      </c>
      <c r="N5" s="224">
        <f t="shared" si="0"/>
        <v>92.634146341463421</v>
      </c>
      <c r="O5" s="224">
        <f t="shared" si="0"/>
        <v>19.590243902439024</v>
      </c>
      <c r="P5" s="224">
        <f t="shared" si="0"/>
        <v>0.29756097560975614</v>
      </c>
      <c r="Q5" s="194">
        <f>E5*4+F5*9+G5*4</f>
        <v>172.93170731707318</v>
      </c>
    </row>
    <row r="6" spans="1:17" ht="24.6" customHeight="1">
      <c r="A6" s="103"/>
      <c r="B6" s="95"/>
      <c r="C6" s="57" t="s">
        <v>243</v>
      </c>
      <c r="D6" s="68">
        <v>200</v>
      </c>
      <c r="E6" s="62">
        <v>5.76</v>
      </c>
      <c r="F6" s="62">
        <v>5.98</v>
      </c>
      <c r="G6" s="62">
        <v>23.28</v>
      </c>
      <c r="H6" s="61">
        <f>Q6</f>
        <v>169.98000000000002</v>
      </c>
      <c r="I6" s="62">
        <v>0.03</v>
      </c>
      <c r="J6" s="62">
        <v>3.2</v>
      </c>
      <c r="K6" s="62">
        <v>0.2</v>
      </c>
      <c r="L6" s="62">
        <v>1</v>
      </c>
      <c r="M6" s="62">
        <v>86.63</v>
      </c>
      <c r="N6" s="62">
        <v>94.2</v>
      </c>
      <c r="O6" s="62">
        <v>20.079999999999998</v>
      </c>
      <c r="P6" s="143">
        <v>0.3</v>
      </c>
      <c r="Q6" s="194">
        <f t="shared" ref="Q6:Q12" si="1">E6*4+F6*9+G6*4</f>
        <v>169.98000000000002</v>
      </c>
    </row>
    <row r="7" spans="1:17" ht="20.45" customHeight="1">
      <c r="A7" s="103"/>
      <c r="B7" s="95"/>
      <c r="C7" s="57" t="s">
        <v>111</v>
      </c>
      <c r="D7" s="68">
        <v>5</v>
      </c>
      <c r="E7" s="62">
        <v>0.8</v>
      </c>
      <c r="F7" s="62">
        <v>30.5</v>
      </c>
      <c r="G7" s="62">
        <v>1.3</v>
      </c>
      <c r="H7" s="61">
        <f t="shared" ref="H7:H11" si="2">Q7</f>
        <v>282.89999999999998</v>
      </c>
      <c r="I7" s="107">
        <v>0.01</v>
      </c>
      <c r="J7" s="108">
        <v>0</v>
      </c>
      <c r="K7" s="108">
        <v>0.4</v>
      </c>
      <c r="L7" s="108">
        <v>1</v>
      </c>
      <c r="M7" s="108">
        <v>24</v>
      </c>
      <c r="N7" s="61">
        <v>30</v>
      </c>
      <c r="O7" s="108">
        <v>0</v>
      </c>
      <c r="P7" s="144">
        <v>0.2</v>
      </c>
      <c r="Q7" s="194">
        <f t="shared" si="1"/>
        <v>282.89999999999998</v>
      </c>
    </row>
    <row r="8" spans="1:17" ht="23.45" customHeight="1">
      <c r="A8" s="103">
        <v>1</v>
      </c>
      <c r="B8" s="105" t="s">
        <v>98</v>
      </c>
      <c r="C8" s="58" t="s">
        <v>24</v>
      </c>
      <c r="D8" s="128">
        <v>30</v>
      </c>
      <c r="E8" s="61">
        <v>8</v>
      </c>
      <c r="F8" s="61">
        <v>0.25</v>
      </c>
      <c r="G8" s="61">
        <v>53</v>
      </c>
      <c r="H8" s="61">
        <f t="shared" si="2"/>
        <v>246.25</v>
      </c>
      <c r="I8" s="61">
        <v>0.2</v>
      </c>
      <c r="J8" s="61">
        <v>4</v>
      </c>
      <c r="K8" s="61">
        <v>0</v>
      </c>
      <c r="L8" s="61">
        <v>0</v>
      </c>
      <c r="M8" s="61">
        <v>38</v>
      </c>
      <c r="N8" s="61">
        <v>130</v>
      </c>
      <c r="O8" s="61">
        <v>26</v>
      </c>
      <c r="P8" s="143">
        <v>2.5</v>
      </c>
      <c r="Q8" s="194">
        <f t="shared" si="1"/>
        <v>246.25</v>
      </c>
    </row>
    <row r="9" spans="1:17" ht="21" customHeight="1">
      <c r="A9" s="103">
        <v>1</v>
      </c>
      <c r="B9" s="95" t="s">
        <v>192</v>
      </c>
      <c r="C9" s="57" t="s">
        <v>26</v>
      </c>
      <c r="D9" s="68">
        <v>200</v>
      </c>
      <c r="E9" s="61">
        <v>0.04</v>
      </c>
      <c r="F9" s="62">
        <v>0.01</v>
      </c>
      <c r="G9" s="61">
        <v>7.5</v>
      </c>
      <c r="H9" s="61">
        <f t="shared" si="2"/>
        <v>30.25</v>
      </c>
      <c r="I9" s="62">
        <v>0</v>
      </c>
      <c r="J9" s="62">
        <v>0</v>
      </c>
      <c r="K9" s="62">
        <v>0.02</v>
      </c>
      <c r="L9" s="62">
        <v>0</v>
      </c>
      <c r="M9" s="62">
        <v>5.55</v>
      </c>
      <c r="N9" s="62">
        <v>0.7</v>
      </c>
      <c r="O9" s="62">
        <v>1.4</v>
      </c>
      <c r="P9" s="143">
        <v>0.14000000000000001</v>
      </c>
      <c r="Q9" s="194">
        <f t="shared" si="1"/>
        <v>30.25</v>
      </c>
    </row>
    <row r="10" spans="1:17" ht="18.600000000000001" customHeight="1">
      <c r="A10" s="103">
        <v>1</v>
      </c>
      <c r="B10" s="95"/>
      <c r="C10" s="59" t="s">
        <v>193</v>
      </c>
      <c r="D10" s="68">
        <v>38</v>
      </c>
      <c r="E10" s="61">
        <v>3.3</v>
      </c>
      <c r="F10" s="62">
        <v>3.9</v>
      </c>
      <c r="G10" s="61">
        <v>20.94</v>
      </c>
      <c r="H10" s="61">
        <f t="shared" si="2"/>
        <v>132.06</v>
      </c>
      <c r="I10" s="62">
        <v>0.02</v>
      </c>
      <c r="J10" s="62">
        <v>0.05</v>
      </c>
      <c r="K10" s="62">
        <v>0.06</v>
      </c>
      <c r="L10" s="62">
        <v>2.52</v>
      </c>
      <c r="M10" s="62">
        <v>18.420000000000002</v>
      </c>
      <c r="N10" s="62">
        <v>34.42</v>
      </c>
      <c r="O10" s="62">
        <v>3.84</v>
      </c>
      <c r="P10" s="143">
        <v>0.42</v>
      </c>
      <c r="Q10" s="194">
        <f t="shared" si="1"/>
        <v>132.06</v>
      </c>
    </row>
    <row r="11" spans="1:17" ht="18.75">
      <c r="A11" s="103">
        <v>1</v>
      </c>
      <c r="B11" s="106" t="s">
        <v>202</v>
      </c>
      <c r="C11" s="64" t="s">
        <v>111</v>
      </c>
      <c r="D11" s="68">
        <v>10</v>
      </c>
      <c r="E11" s="62">
        <v>0.8</v>
      </c>
      <c r="F11" s="62">
        <v>72.5</v>
      </c>
      <c r="G11" s="62">
        <v>1.3</v>
      </c>
      <c r="H11" s="61">
        <f t="shared" si="2"/>
        <v>660.90000000000009</v>
      </c>
      <c r="I11" s="107">
        <v>0.01</v>
      </c>
      <c r="J11" s="108">
        <v>0</v>
      </c>
      <c r="K11" s="108">
        <v>0.4</v>
      </c>
      <c r="L11" s="108">
        <v>1</v>
      </c>
      <c r="M11" s="108">
        <v>24</v>
      </c>
      <c r="N11" s="61">
        <v>30</v>
      </c>
      <c r="O11" s="108">
        <v>0</v>
      </c>
      <c r="P11" s="144">
        <v>0.2</v>
      </c>
      <c r="Q11" s="194">
        <f t="shared" si="1"/>
        <v>660.90000000000009</v>
      </c>
    </row>
    <row r="12" spans="1:17" ht="22.15" customHeight="1">
      <c r="A12" s="103">
        <v>1</v>
      </c>
      <c r="B12" s="95"/>
      <c r="C12" s="65" t="s">
        <v>18</v>
      </c>
      <c r="D12" s="68">
        <f>SUM(D5:D11)</f>
        <v>683</v>
      </c>
      <c r="E12" s="120">
        <f>SUM(E5:E11)</f>
        <v>24.339024390243903</v>
      </c>
      <c r="F12" s="120">
        <f t="shared" ref="F12:P12" si="3">SUM(F5:F11)</f>
        <v>119.74</v>
      </c>
      <c r="G12" s="120">
        <f t="shared" si="3"/>
        <v>130.06390243902442</v>
      </c>
      <c r="H12" s="120">
        <f t="shared" si="3"/>
        <v>1695.0741463414636</v>
      </c>
      <c r="I12" s="120">
        <f t="shared" si="3"/>
        <v>0.29951219512195126</v>
      </c>
      <c r="J12" s="120">
        <f t="shared" si="3"/>
        <v>10.371951219512196</v>
      </c>
      <c r="K12" s="120">
        <f t="shared" si="3"/>
        <v>1.2848780487804881</v>
      </c>
      <c r="L12" s="120">
        <f t="shared" si="3"/>
        <v>6.52</v>
      </c>
      <c r="M12" s="120">
        <f t="shared" si="3"/>
        <v>281.70243902439023</v>
      </c>
      <c r="N12" s="120">
        <f t="shared" si="3"/>
        <v>411.95414634146346</v>
      </c>
      <c r="O12" s="120">
        <f t="shared" si="3"/>
        <v>70.910243902439035</v>
      </c>
      <c r="P12" s="145">
        <f t="shared" si="3"/>
        <v>4.0575609756097561</v>
      </c>
      <c r="Q12" s="194">
        <f t="shared" si="1"/>
        <v>1695.2717073170729</v>
      </c>
    </row>
    <row r="13" spans="1:17" ht="15" customHeight="1">
      <c r="A13" s="103">
        <v>1</v>
      </c>
      <c r="B13" s="247" t="s">
        <v>19</v>
      </c>
      <c r="C13" s="247"/>
      <c r="D13" s="247"/>
      <c r="E13" s="247"/>
      <c r="F13" s="247"/>
      <c r="G13" s="247"/>
      <c r="H13" s="247"/>
      <c r="I13" s="247"/>
      <c r="J13" s="247"/>
      <c r="K13" s="247"/>
      <c r="L13" s="247"/>
      <c r="M13" s="247"/>
      <c r="N13" s="247"/>
      <c r="O13" s="247"/>
      <c r="P13" s="248"/>
      <c r="Q13" s="194">
        <f t="shared" ref="Q13:Q71" si="4">E13*4+F13*9+G13*4</f>
        <v>0</v>
      </c>
    </row>
    <row r="14" spans="1:17" ht="18.75">
      <c r="A14" s="103">
        <v>1</v>
      </c>
      <c r="B14" s="66" t="s">
        <v>203</v>
      </c>
      <c r="C14" s="57" t="s">
        <v>172</v>
      </c>
      <c r="D14" s="68">
        <v>100</v>
      </c>
      <c r="E14" s="73">
        <v>4.7</v>
      </c>
      <c r="F14" s="73">
        <v>9.5</v>
      </c>
      <c r="G14" s="73">
        <v>7.13</v>
      </c>
      <c r="H14" s="73">
        <v>132.80000000000001</v>
      </c>
      <c r="I14" s="73">
        <v>0.02</v>
      </c>
      <c r="J14" s="73">
        <v>8.2100000000000009</v>
      </c>
      <c r="K14" s="73">
        <v>0.04</v>
      </c>
      <c r="L14" s="73">
        <v>2.36</v>
      </c>
      <c r="M14" s="73">
        <v>161.97</v>
      </c>
      <c r="N14" s="73">
        <v>109.93</v>
      </c>
      <c r="O14" s="73">
        <v>23.07</v>
      </c>
      <c r="P14" s="146">
        <v>1.28</v>
      </c>
      <c r="Q14" s="194">
        <f t="shared" si="4"/>
        <v>132.82</v>
      </c>
    </row>
    <row r="15" spans="1:17" ht="36.6" customHeight="1">
      <c r="A15" s="103">
        <v>1</v>
      </c>
      <c r="B15" s="88" t="s">
        <v>54</v>
      </c>
      <c r="C15" s="67" t="s">
        <v>299</v>
      </c>
      <c r="D15" s="68">
        <v>250</v>
      </c>
      <c r="E15" s="217">
        <v>2</v>
      </c>
      <c r="F15" s="217">
        <v>3</v>
      </c>
      <c r="G15" s="217">
        <f t="shared" ref="G15:P15" si="5">(G16*0.15+G17*2)/2.15</f>
        <v>10.737209302325581</v>
      </c>
      <c r="H15" s="93">
        <f t="shared" ref="H15:H16" si="6">Q15</f>
        <v>77.948837209302326</v>
      </c>
      <c r="I15" s="217">
        <f t="shared" si="5"/>
        <v>0.31930232558139537</v>
      </c>
      <c r="J15" s="217">
        <f t="shared" si="5"/>
        <v>2.2790697674418605</v>
      </c>
      <c r="K15" s="217">
        <f t="shared" si="5"/>
        <v>0.69767441860465118</v>
      </c>
      <c r="L15" s="217">
        <f t="shared" si="5"/>
        <v>1.2953488372093025</v>
      </c>
      <c r="M15" s="217">
        <f t="shared" si="5"/>
        <v>18.323255813953491</v>
      </c>
      <c r="N15" s="217">
        <f t="shared" si="5"/>
        <v>70.255813953488385</v>
      </c>
      <c r="O15" s="217">
        <f t="shared" si="5"/>
        <v>21.581395348837209</v>
      </c>
      <c r="P15" s="217">
        <f t="shared" si="5"/>
        <v>1.3651162790697673</v>
      </c>
      <c r="Q15" s="194">
        <f t="shared" si="4"/>
        <v>77.948837209302326</v>
      </c>
    </row>
    <row r="16" spans="1:17" ht="22.15" customHeight="1">
      <c r="A16" s="103"/>
      <c r="B16" s="90" t="s">
        <v>205</v>
      </c>
      <c r="C16" s="67" t="s">
        <v>204</v>
      </c>
      <c r="D16" s="68">
        <v>15</v>
      </c>
      <c r="E16" s="221">
        <v>9.8000000000000007</v>
      </c>
      <c r="F16" s="109">
        <v>1</v>
      </c>
      <c r="G16" s="109">
        <v>65.900000000000006</v>
      </c>
      <c r="H16" s="93">
        <f t="shared" si="6"/>
        <v>311.8</v>
      </c>
      <c r="I16" s="109">
        <v>0.31</v>
      </c>
      <c r="J16" s="109">
        <v>0</v>
      </c>
      <c r="K16" s="109">
        <v>0</v>
      </c>
      <c r="L16" s="109">
        <v>2.2999999999999998</v>
      </c>
      <c r="M16" s="109">
        <v>5.3</v>
      </c>
      <c r="N16" s="109">
        <v>271</v>
      </c>
      <c r="O16" s="109">
        <v>80</v>
      </c>
      <c r="P16" s="148">
        <v>6.9</v>
      </c>
      <c r="Q16" s="194">
        <f t="shared" si="4"/>
        <v>311.8</v>
      </c>
    </row>
    <row r="17" spans="1:17" ht="25.15" customHeight="1">
      <c r="A17" s="103"/>
      <c r="B17" s="90"/>
      <c r="C17" s="67" t="s">
        <v>206</v>
      </c>
      <c r="D17" s="68">
        <v>250</v>
      </c>
      <c r="E17" s="93">
        <v>3.6</v>
      </c>
      <c r="F17" s="93">
        <v>3.54</v>
      </c>
      <c r="G17" s="93">
        <v>6.6</v>
      </c>
      <c r="H17" s="93">
        <f>Q17</f>
        <v>72.66</v>
      </c>
      <c r="I17" s="93">
        <v>0.32</v>
      </c>
      <c r="J17" s="93">
        <v>2.4500000000000002</v>
      </c>
      <c r="K17" s="93">
        <v>0.75</v>
      </c>
      <c r="L17" s="93">
        <v>1.22</v>
      </c>
      <c r="M17" s="93">
        <v>19.3</v>
      </c>
      <c r="N17" s="93">
        <v>55.2</v>
      </c>
      <c r="O17" s="93">
        <v>17.2</v>
      </c>
      <c r="P17" s="149">
        <v>0.95</v>
      </c>
      <c r="Q17" s="194">
        <f t="shared" si="4"/>
        <v>72.66</v>
      </c>
    </row>
    <row r="18" spans="1:17" ht="25.9" customHeight="1">
      <c r="A18" s="103">
        <v>1</v>
      </c>
      <c r="B18" s="90" t="s">
        <v>207</v>
      </c>
      <c r="C18" s="59" t="s">
        <v>174</v>
      </c>
      <c r="D18" s="128">
        <v>210</v>
      </c>
      <c r="E18" s="225">
        <v>7.07</v>
      </c>
      <c r="F18" s="225">
        <v>8.09</v>
      </c>
      <c r="G18" s="72">
        <f t="shared" ref="G18:P18" si="7">(G19*0.8+G20*1.5)/2.3</f>
        <v>12.695652173913047</v>
      </c>
      <c r="H18" s="72">
        <f t="shared" si="7"/>
        <v>160.5826086956522</v>
      </c>
      <c r="I18" s="72">
        <f t="shared" si="7"/>
        <v>3.4782608695652181E-2</v>
      </c>
      <c r="J18" s="72">
        <f t="shared" si="7"/>
        <v>0.34782608695652178</v>
      </c>
      <c r="K18" s="72">
        <f t="shared" si="7"/>
        <v>0</v>
      </c>
      <c r="L18" s="72">
        <f t="shared" si="7"/>
        <v>0.97826086956521752</v>
      </c>
      <c r="M18" s="72">
        <f t="shared" si="7"/>
        <v>10.956521739130437</v>
      </c>
      <c r="N18" s="72">
        <f t="shared" si="7"/>
        <v>18.343478260869567</v>
      </c>
      <c r="O18" s="72">
        <f t="shared" si="7"/>
        <v>78.573913043478285</v>
      </c>
      <c r="P18" s="72">
        <f t="shared" si="7"/>
        <v>1.1869565217391305</v>
      </c>
      <c r="Q18" s="194">
        <f t="shared" si="4"/>
        <v>151.87260869565219</v>
      </c>
    </row>
    <row r="19" spans="1:17" ht="24.6" customHeight="1">
      <c r="A19" s="103"/>
      <c r="B19" s="90"/>
      <c r="C19" s="59" t="s">
        <v>180</v>
      </c>
      <c r="D19" s="68">
        <v>80</v>
      </c>
      <c r="E19" s="73">
        <v>17.7</v>
      </c>
      <c r="F19" s="73">
        <v>18.5</v>
      </c>
      <c r="G19" s="73">
        <v>3.5</v>
      </c>
      <c r="H19" s="93">
        <f t="shared" ref="H19:H23" si="8">Q19</f>
        <v>251.3</v>
      </c>
      <c r="I19" s="110">
        <v>0.1</v>
      </c>
      <c r="J19" s="110">
        <v>1</v>
      </c>
      <c r="K19" s="110">
        <v>0</v>
      </c>
      <c r="L19" s="110">
        <v>1.5</v>
      </c>
      <c r="M19" s="110">
        <v>25.5</v>
      </c>
      <c r="N19" s="110">
        <v>26.3</v>
      </c>
      <c r="O19" s="110">
        <v>179.4</v>
      </c>
      <c r="P19" s="150">
        <v>2.1</v>
      </c>
      <c r="Q19" s="194">
        <f t="shared" si="4"/>
        <v>251.3</v>
      </c>
    </row>
    <row r="20" spans="1:17" ht="24.6" customHeight="1">
      <c r="A20" s="103"/>
      <c r="B20" s="90"/>
      <c r="C20" s="59" t="s">
        <v>208</v>
      </c>
      <c r="D20" s="68">
        <v>180</v>
      </c>
      <c r="E20" s="73">
        <v>3.7</v>
      </c>
      <c r="F20" s="73">
        <v>3</v>
      </c>
      <c r="G20" s="73">
        <v>17.600000000000001</v>
      </c>
      <c r="H20" s="93">
        <f t="shared" si="8"/>
        <v>112.2</v>
      </c>
      <c r="I20" s="110">
        <v>0</v>
      </c>
      <c r="J20" s="110">
        <v>0</v>
      </c>
      <c r="K20" s="110">
        <v>0</v>
      </c>
      <c r="L20" s="110">
        <v>0.7</v>
      </c>
      <c r="M20" s="110">
        <v>3.2</v>
      </c>
      <c r="N20" s="110">
        <v>14.1</v>
      </c>
      <c r="O20" s="110">
        <v>24.8</v>
      </c>
      <c r="P20" s="150">
        <v>0.7</v>
      </c>
      <c r="Q20" s="194">
        <f t="shared" si="4"/>
        <v>112.2</v>
      </c>
    </row>
    <row r="21" spans="1:17" ht="21" customHeight="1">
      <c r="A21" s="103">
        <v>1</v>
      </c>
      <c r="B21" s="95" t="s">
        <v>149</v>
      </c>
      <c r="C21" s="57" t="s">
        <v>55</v>
      </c>
      <c r="D21" s="68">
        <v>200</v>
      </c>
      <c r="E21" s="63">
        <v>0.14000000000000001</v>
      </c>
      <c r="F21" s="63">
        <v>0.05</v>
      </c>
      <c r="G21" s="63">
        <v>14.44</v>
      </c>
      <c r="H21" s="93">
        <f t="shared" si="8"/>
        <v>58.769999999999996</v>
      </c>
      <c r="I21" s="63">
        <v>0</v>
      </c>
      <c r="J21" s="63">
        <v>9.65</v>
      </c>
      <c r="K21" s="63">
        <v>0</v>
      </c>
      <c r="L21" s="63">
        <v>0.08</v>
      </c>
      <c r="M21" s="63">
        <v>6.83</v>
      </c>
      <c r="N21" s="63">
        <v>3.69</v>
      </c>
      <c r="O21" s="63">
        <v>2.89</v>
      </c>
      <c r="P21" s="151">
        <v>0.23400000000000001</v>
      </c>
      <c r="Q21" s="194">
        <f t="shared" si="4"/>
        <v>58.769999999999996</v>
      </c>
    </row>
    <row r="22" spans="1:17" ht="21" customHeight="1">
      <c r="A22" s="103">
        <v>1</v>
      </c>
      <c r="B22" s="95" t="s">
        <v>57</v>
      </c>
      <c r="C22" s="69" t="s">
        <v>20</v>
      </c>
      <c r="D22" s="68">
        <v>40</v>
      </c>
      <c r="E22" s="91">
        <v>7.6666666666666661</v>
      </c>
      <c r="F22" s="91">
        <v>0.66666666666666674</v>
      </c>
      <c r="G22" s="91">
        <v>49.333333333333336</v>
      </c>
      <c r="H22" s="93">
        <f t="shared" si="8"/>
        <v>234</v>
      </c>
      <c r="I22" s="91">
        <v>0</v>
      </c>
      <c r="J22" s="91">
        <v>0</v>
      </c>
      <c r="K22" s="91">
        <v>0</v>
      </c>
      <c r="L22" s="91">
        <v>1</v>
      </c>
      <c r="M22" s="91">
        <v>20</v>
      </c>
      <c r="N22" s="91">
        <v>65</v>
      </c>
      <c r="O22" s="91">
        <v>14.000000000000002</v>
      </c>
      <c r="P22" s="152">
        <v>1</v>
      </c>
      <c r="Q22" s="194">
        <f t="shared" si="4"/>
        <v>234</v>
      </c>
    </row>
    <row r="23" spans="1:17" ht="15" customHeight="1">
      <c r="A23" s="103">
        <v>1</v>
      </c>
      <c r="B23" s="95" t="s">
        <v>150</v>
      </c>
      <c r="C23" s="69" t="s">
        <v>21</v>
      </c>
      <c r="D23" s="68">
        <v>50</v>
      </c>
      <c r="E23" s="63">
        <v>6.5</v>
      </c>
      <c r="F23" s="70">
        <v>1.25</v>
      </c>
      <c r="G23" s="63">
        <v>39.5</v>
      </c>
      <c r="H23" s="93">
        <f t="shared" si="8"/>
        <v>195.25</v>
      </c>
      <c r="I23" s="70">
        <v>0.25</v>
      </c>
      <c r="J23" s="70">
        <v>0</v>
      </c>
      <c r="K23" s="70">
        <v>0</v>
      </c>
      <c r="L23" s="70">
        <v>1.5</v>
      </c>
      <c r="M23" s="70">
        <v>29</v>
      </c>
      <c r="N23" s="70">
        <v>150</v>
      </c>
      <c r="O23" s="70">
        <v>47</v>
      </c>
      <c r="P23" s="153">
        <v>4</v>
      </c>
      <c r="Q23" s="194">
        <f t="shared" si="4"/>
        <v>195.25</v>
      </c>
    </row>
    <row r="24" spans="1:17" ht="15" customHeight="1">
      <c r="A24" s="103">
        <v>1</v>
      </c>
      <c r="B24" s="95"/>
      <c r="C24" s="95" t="s">
        <v>18</v>
      </c>
      <c r="D24" s="68">
        <f>SUM(D14:D15)+SUM(D19:D23)</f>
        <v>900</v>
      </c>
      <c r="E24" s="97">
        <f t="shared" ref="E24:P24" si="9">SUM(E15:E23)</f>
        <v>58.176666666666669</v>
      </c>
      <c r="F24" s="97">
        <f t="shared" si="9"/>
        <v>39.096666666666657</v>
      </c>
      <c r="G24" s="97">
        <f t="shared" si="9"/>
        <v>220.30619480957196</v>
      </c>
      <c r="H24" s="97">
        <f t="shared" si="9"/>
        <v>1474.5114459049546</v>
      </c>
      <c r="I24" s="97">
        <f t="shared" si="9"/>
        <v>1.3340849342770478</v>
      </c>
      <c r="J24" s="97">
        <f t="shared" si="9"/>
        <v>15.726895854398382</v>
      </c>
      <c r="K24" s="97">
        <f t="shared" si="9"/>
        <v>1.4476744186046511</v>
      </c>
      <c r="L24" s="97">
        <f t="shared" si="9"/>
        <v>10.573609706774519</v>
      </c>
      <c r="M24" s="97">
        <f t="shared" si="9"/>
        <v>138.40977755308393</v>
      </c>
      <c r="N24" s="97">
        <f t="shared" si="9"/>
        <v>673.88929221435797</v>
      </c>
      <c r="O24" s="97">
        <f t="shared" si="9"/>
        <v>465.4453083923155</v>
      </c>
      <c r="P24" s="154">
        <f t="shared" si="9"/>
        <v>18.436072800808894</v>
      </c>
      <c r="Q24" s="194">
        <f t="shared" si="4"/>
        <v>1465.8014459049546</v>
      </c>
    </row>
    <row r="25" spans="1:17" ht="25.15" customHeight="1">
      <c r="A25" s="103">
        <v>1</v>
      </c>
      <c r="B25" s="247" t="s">
        <v>22</v>
      </c>
      <c r="C25" s="247"/>
      <c r="D25" s="247"/>
      <c r="E25" s="247"/>
      <c r="F25" s="247"/>
      <c r="G25" s="247"/>
      <c r="H25" s="247"/>
      <c r="I25" s="247"/>
      <c r="J25" s="247"/>
      <c r="K25" s="247"/>
      <c r="L25" s="247"/>
      <c r="M25" s="247"/>
      <c r="N25" s="247"/>
      <c r="O25" s="247"/>
      <c r="P25" s="248"/>
      <c r="Q25" s="194">
        <f t="shared" si="4"/>
        <v>0</v>
      </c>
    </row>
    <row r="26" spans="1:17" ht="37.5">
      <c r="A26" s="103">
        <v>1</v>
      </c>
      <c r="B26" s="95" t="s">
        <v>156</v>
      </c>
      <c r="C26" s="57" t="s">
        <v>171</v>
      </c>
      <c r="D26" s="123">
        <v>100</v>
      </c>
      <c r="E26" s="62">
        <v>12.86</v>
      </c>
      <c r="F26" s="62">
        <v>12.88</v>
      </c>
      <c r="G26" s="62">
        <v>16.38</v>
      </c>
      <c r="H26" s="61">
        <f>Q26</f>
        <v>232.88</v>
      </c>
      <c r="I26" s="62">
        <v>7.0000000000000007E-2</v>
      </c>
      <c r="J26" s="62">
        <v>3</v>
      </c>
      <c r="K26" s="62">
        <v>82.5</v>
      </c>
      <c r="L26" s="62">
        <v>0.81</v>
      </c>
      <c r="M26" s="62">
        <v>236.94</v>
      </c>
      <c r="N26" s="62">
        <v>192.1</v>
      </c>
      <c r="O26" s="62">
        <v>21.05</v>
      </c>
      <c r="P26" s="143">
        <v>1.2</v>
      </c>
      <c r="Q26" s="194">
        <f t="shared" si="4"/>
        <v>232.88</v>
      </c>
    </row>
    <row r="27" spans="1:17" ht="37.5">
      <c r="A27" s="103">
        <v>1</v>
      </c>
      <c r="B27" s="95" t="s">
        <v>151</v>
      </c>
      <c r="C27" s="59" t="s">
        <v>49</v>
      </c>
      <c r="D27" s="123">
        <v>200</v>
      </c>
      <c r="E27" s="62">
        <v>0.08</v>
      </c>
      <c r="F27" s="62">
        <v>0.08</v>
      </c>
      <c r="G27" s="62">
        <v>9.94</v>
      </c>
      <c r="H27" s="61">
        <f>Q27</f>
        <v>40.799999999999997</v>
      </c>
      <c r="I27" s="62">
        <v>0.01</v>
      </c>
      <c r="J27" s="62">
        <v>0.45</v>
      </c>
      <c r="K27" s="62">
        <v>0</v>
      </c>
      <c r="L27" s="62">
        <v>0.04</v>
      </c>
      <c r="M27" s="62">
        <v>6.97</v>
      </c>
      <c r="N27" s="62">
        <v>2.2000000000000002</v>
      </c>
      <c r="O27" s="62">
        <v>2.57</v>
      </c>
      <c r="P27" s="143">
        <v>0.46800000000000003</v>
      </c>
      <c r="Q27" s="194">
        <f t="shared" si="4"/>
        <v>40.799999999999997</v>
      </c>
    </row>
    <row r="28" spans="1:17" ht="18.75">
      <c r="A28" s="103"/>
      <c r="B28" s="95"/>
      <c r="C28" s="95" t="s">
        <v>18</v>
      </c>
      <c r="D28" s="123">
        <f>200+100</f>
        <v>300</v>
      </c>
      <c r="E28" s="97">
        <f t="shared" ref="E28:P28" si="10">SUM(E26:E27)</f>
        <v>12.94</v>
      </c>
      <c r="F28" s="97">
        <f t="shared" si="10"/>
        <v>12.96</v>
      </c>
      <c r="G28" s="97">
        <f t="shared" si="10"/>
        <v>26.32</v>
      </c>
      <c r="H28" s="97">
        <f t="shared" si="10"/>
        <v>273.68</v>
      </c>
      <c r="I28" s="97">
        <f t="shared" si="10"/>
        <v>0.08</v>
      </c>
      <c r="J28" s="97">
        <f t="shared" si="10"/>
        <v>3.45</v>
      </c>
      <c r="K28" s="97">
        <f t="shared" si="10"/>
        <v>82.5</v>
      </c>
      <c r="L28" s="97">
        <f t="shared" si="10"/>
        <v>0.85000000000000009</v>
      </c>
      <c r="M28" s="97">
        <f t="shared" si="10"/>
        <v>243.91</v>
      </c>
      <c r="N28" s="97">
        <f t="shared" si="10"/>
        <v>194.29999999999998</v>
      </c>
      <c r="O28" s="97">
        <f t="shared" si="10"/>
        <v>23.62</v>
      </c>
      <c r="P28" s="154">
        <f t="shared" si="10"/>
        <v>1.6679999999999999</v>
      </c>
      <c r="Q28" s="194">
        <f t="shared" si="4"/>
        <v>273.68</v>
      </c>
    </row>
    <row r="29" spans="1:17" ht="15" customHeight="1">
      <c r="A29" s="103">
        <v>1</v>
      </c>
      <c r="B29" s="95"/>
      <c r="C29" s="95" t="s">
        <v>23</v>
      </c>
      <c r="D29" s="60">
        <f>D28+D24+D12</f>
        <v>1883</v>
      </c>
      <c r="E29" s="97">
        <f t="shared" ref="E29:P29" si="11">E12+E24+E28</f>
        <v>95.455691056910567</v>
      </c>
      <c r="F29" s="97">
        <f t="shared" si="11"/>
        <v>171.79666666666665</v>
      </c>
      <c r="G29" s="97">
        <f t="shared" si="11"/>
        <v>376.69009724859637</v>
      </c>
      <c r="H29" s="97">
        <f t="shared" si="11"/>
        <v>3443.2655922464178</v>
      </c>
      <c r="I29" s="97">
        <f t="shared" si="11"/>
        <v>1.7135971293989991</v>
      </c>
      <c r="J29" s="97">
        <f t="shared" si="11"/>
        <v>29.548847073910576</v>
      </c>
      <c r="K29" s="97">
        <f t="shared" si="11"/>
        <v>85.232552467385133</v>
      </c>
      <c r="L29" s="97">
        <f t="shared" si="11"/>
        <v>17.94360970677452</v>
      </c>
      <c r="M29" s="97">
        <f t="shared" si="11"/>
        <v>664.02221657747418</v>
      </c>
      <c r="N29" s="97">
        <f t="shared" si="11"/>
        <v>1280.1434385558214</v>
      </c>
      <c r="O29" s="97">
        <f t="shared" si="11"/>
        <v>559.97555229475449</v>
      </c>
      <c r="P29" s="154">
        <f t="shared" si="11"/>
        <v>24.16163377641865</v>
      </c>
      <c r="Q29" s="194">
        <f t="shared" si="4"/>
        <v>3434.7531532220273</v>
      </c>
    </row>
    <row r="30" spans="1:17" ht="15" customHeight="1">
      <c r="A30" s="103">
        <v>1</v>
      </c>
      <c r="B30" s="247" t="s">
        <v>17</v>
      </c>
      <c r="C30" s="247"/>
      <c r="D30" s="247"/>
      <c r="E30" s="247"/>
      <c r="F30" s="247"/>
      <c r="G30" s="247"/>
      <c r="H30" s="247"/>
      <c r="I30" s="247"/>
      <c r="J30" s="247"/>
      <c r="K30" s="247"/>
      <c r="L30" s="247"/>
      <c r="M30" s="247"/>
      <c r="N30" s="247"/>
      <c r="O30" s="247"/>
      <c r="P30" s="248"/>
      <c r="Q30" s="194">
        <f t="shared" si="4"/>
        <v>0</v>
      </c>
    </row>
    <row r="31" spans="1:17" ht="26.45" customHeight="1">
      <c r="A31" s="103">
        <v>2</v>
      </c>
      <c r="B31" s="95" t="s">
        <v>167</v>
      </c>
      <c r="C31" s="71" t="s">
        <v>209</v>
      </c>
      <c r="D31" s="60">
        <v>180</v>
      </c>
      <c r="E31" s="65">
        <v>7.88</v>
      </c>
      <c r="F31" s="65">
        <v>9.0500000000000007</v>
      </c>
      <c r="G31" s="65">
        <v>1.47</v>
      </c>
      <c r="H31" s="120">
        <f>Q31</f>
        <v>118.85</v>
      </c>
      <c r="I31" s="65">
        <v>0.6</v>
      </c>
      <c r="J31" s="65">
        <v>3.23</v>
      </c>
      <c r="K31" s="65">
        <v>2.4500000000000002</v>
      </c>
      <c r="L31" s="65">
        <v>4.55</v>
      </c>
      <c r="M31" s="65">
        <v>49.71</v>
      </c>
      <c r="N31" s="65">
        <v>84.72</v>
      </c>
      <c r="O31" s="65">
        <v>9.8000000000000007</v>
      </c>
      <c r="P31" s="155">
        <v>2</v>
      </c>
      <c r="Q31" s="194">
        <f t="shared" si="4"/>
        <v>118.85</v>
      </c>
    </row>
    <row r="32" spans="1:17" ht="28.15" customHeight="1">
      <c r="A32" s="103"/>
      <c r="B32" s="66" t="s">
        <v>148</v>
      </c>
      <c r="C32" s="57" t="s">
        <v>210</v>
      </c>
      <c r="D32" s="123">
        <v>100</v>
      </c>
      <c r="E32" s="72">
        <v>0.8</v>
      </c>
      <c r="F32" s="73">
        <v>0.1</v>
      </c>
      <c r="G32" s="72">
        <v>2.5</v>
      </c>
      <c r="H32" s="223">
        <f>Q32</f>
        <v>14.100000000000001</v>
      </c>
      <c r="I32" s="73">
        <v>0</v>
      </c>
      <c r="J32" s="73">
        <v>10</v>
      </c>
      <c r="K32" s="73">
        <v>0</v>
      </c>
      <c r="L32" s="73">
        <v>0</v>
      </c>
      <c r="M32" s="73">
        <v>23.3</v>
      </c>
      <c r="N32" s="73">
        <v>41.6</v>
      </c>
      <c r="O32" s="73">
        <v>14</v>
      </c>
      <c r="P32" s="146">
        <v>0.6</v>
      </c>
      <c r="Q32" s="194">
        <f t="shared" si="4"/>
        <v>14.100000000000001</v>
      </c>
    </row>
    <row r="33" spans="1:17" ht="16.899999999999999" customHeight="1">
      <c r="A33" s="103"/>
      <c r="B33" s="66" t="s">
        <v>244</v>
      </c>
      <c r="C33" s="57" t="s">
        <v>211</v>
      </c>
      <c r="D33" s="123">
        <v>10</v>
      </c>
      <c r="E33" s="62">
        <v>2.5</v>
      </c>
      <c r="F33" s="62">
        <v>53</v>
      </c>
      <c r="G33" s="62">
        <v>18.899999999999999</v>
      </c>
      <c r="H33" s="223">
        <f t="shared" ref="H33:H36" si="12">Q33</f>
        <v>562.6</v>
      </c>
      <c r="I33" s="107">
        <v>0.01</v>
      </c>
      <c r="J33" s="108">
        <v>0</v>
      </c>
      <c r="K33" s="108">
        <v>0.4</v>
      </c>
      <c r="L33" s="108">
        <v>1</v>
      </c>
      <c r="M33" s="108">
        <v>24</v>
      </c>
      <c r="N33" s="61">
        <v>30</v>
      </c>
      <c r="O33" s="108">
        <v>0</v>
      </c>
      <c r="P33" s="144">
        <v>0.2</v>
      </c>
      <c r="Q33" s="194">
        <f t="shared" si="4"/>
        <v>562.6</v>
      </c>
    </row>
    <row r="34" spans="1:17" ht="23.45" customHeight="1">
      <c r="A34" s="103"/>
      <c r="B34" s="105" t="s">
        <v>98</v>
      </c>
      <c r="C34" s="58" t="s">
        <v>24</v>
      </c>
      <c r="D34" s="123">
        <v>40</v>
      </c>
      <c r="E34" s="61">
        <v>8</v>
      </c>
      <c r="F34" s="61">
        <v>0.25</v>
      </c>
      <c r="G34" s="61">
        <v>53</v>
      </c>
      <c r="H34" s="223">
        <f t="shared" si="12"/>
        <v>246.25</v>
      </c>
      <c r="I34" s="61">
        <v>0.2</v>
      </c>
      <c r="J34" s="61">
        <v>4</v>
      </c>
      <c r="K34" s="61">
        <v>0</v>
      </c>
      <c r="L34" s="61">
        <v>0</v>
      </c>
      <c r="M34" s="61">
        <v>38</v>
      </c>
      <c r="N34" s="61">
        <v>130</v>
      </c>
      <c r="O34" s="61">
        <v>26</v>
      </c>
      <c r="P34" s="143">
        <v>2.5</v>
      </c>
      <c r="Q34" s="194">
        <f t="shared" si="4"/>
        <v>246.25</v>
      </c>
    </row>
    <row r="35" spans="1:17" ht="16.899999999999999" customHeight="1">
      <c r="A35" s="103">
        <v>2</v>
      </c>
      <c r="B35" s="95" t="s">
        <v>57</v>
      </c>
      <c r="C35" s="59" t="s">
        <v>20</v>
      </c>
      <c r="D35" s="60">
        <v>40</v>
      </c>
      <c r="E35" s="109">
        <v>7.6666666666666661</v>
      </c>
      <c r="F35" s="109">
        <v>0.66666666666666674</v>
      </c>
      <c r="G35" s="109">
        <v>49.333333333333336</v>
      </c>
      <c r="H35" s="223">
        <f t="shared" si="12"/>
        <v>234</v>
      </c>
      <c r="I35" s="62">
        <v>0</v>
      </c>
      <c r="J35" s="62">
        <v>0</v>
      </c>
      <c r="K35" s="62">
        <v>0</v>
      </c>
      <c r="L35" s="62">
        <v>1</v>
      </c>
      <c r="M35" s="62">
        <v>20</v>
      </c>
      <c r="N35" s="62">
        <v>65</v>
      </c>
      <c r="O35" s="62">
        <v>14.000000000000002</v>
      </c>
      <c r="P35" s="143">
        <v>1</v>
      </c>
      <c r="Q35" s="194">
        <f t="shared" si="4"/>
        <v>234</v>
      </c>
    </row>
    <row r="36" spans="1:17" ht="18.600000000000001" customHeight="1">
      <c r="A36" s="103"/>
      <c r="B36" s="95" t="s">
        <v>163</v>
      </c>
      <c r="C36" s="57" t="s">
        <v>53</v>
      </c>
      <c r="D36" s="60">
        <v>200</v>
      </c>
      <c r="E36" s="62">
        <v>2.04</v>
      </c>
      <c r="F36" s="62">
        <v>1.77</v>
      </c>
      <c r="G36" s="62">
        <v>8.7899999999999991</v>
      </c>
      <c r="H36" s="223">
        <f t="shared" si="12"/>
        <v>59.25</v>
      </c>
      <c r="I36" s="62">
        <v>0.03</v>
      </c>
      <c r="J36" s="62">
        <v>0.79</v>
      </c>
      <c r="K36" s="62">
        <v>0.01</v>
      </c>
      <c r="L36" s="62">
        <v>0</v>
      </c>
      <c r="M36" s="62">
        <v>76.11</v>
      </c>
      <c r="N36" s="62">
        <v>62.28</v>
      </c>
      <c r="O36" s="62">
        <v>10.67</v>
      </c>
      <c r="P36" s="143">
        <v>0.24</v>
      </c>
      <c r="Q36" s="194">
        <f t="shared" si="4"/>
        <v>59.25</v>
      </c>
    </row>
    <row r="37" spans="1:17" ht="18.75">
      <c r="A37" s="103">
        <v>2</v>
      </c>
      <c r="B37" s="95"/>
      <c r="C37" s="96" t="s">
        <v>18</v>
      </c>
      <c r="D37" s="123">
        <f>SUM(D31:D36)</f>
        <v>570</v>
      </c>
      <c r="E37" s="97">
        <f t="shared" ref="E37:P37" si="13">SUM(E32:E36)</f>
        <v>21.006666666666668</v>
      </c>
      <c r="F37" s="97">
        <f t="shared" si="13"/>
        <v>55.786666666666669</v>
      </c>
      <c r="G37" s="97">
        <f t="shared" si="13"/>
        <v>132.52333333333334</v>
      </c>
      <c r="H37" s="97">
        <f t="shared" si="13"/>
        <v>1116.2</v>
      </c>
      <c r="I37" s="97">
        <f t="shared" si="13"/>
        <v>0.24000000000000002</v>
      </c>
      <c r="J37" s="97">
        <f t="shared" si="13"/>
        <v>14.79</v>
      </c>
      <c r="K37" s="97">
        <f t="shared" si="13"/>
        <v>0.41000000000000003</v>
      </c>
      <c r="L37" s="97">
        <f t="shared" si="13"/>
        <v>2</v>
      </c>
      <c r="M37" s="97">
        <f t="shared" si="13"/>
        <v>181.41</v>
      </c>
      <c r="N37" s="97">
        <f t="shared" si="13"/>
        <v>328.88</v>
      </c>
      <c r="O37" s="97">
        <f t="shared" si="13"/>
        <v>64.67</v>
      </c>
      <c r="P37" s="154">
        <f t="shared" si="13"/>
        <v>4.54</v>
      </c>
      <c r="Q37" s="194">
        <f t="shared" si="4"/>
        <v>1116.2</v>
      </c>
    </row>
    <row r="38" spans="1:17" ht="18.75">
      <c r="A38" s="103">
        <v>2</v>
      </c>
      <c r="B38" s="247" t="s">
        <v>19</v>
      </c>
      <c r="C38" s="247"/>
      <c r="D38" s="247"/>
      <c r="E38" s="247"/>
      <c r="F38" s="247"/>
      <c r="G38" s="247"/>
      <c r="H38" s="247"/>
      <c r="I38" s="247"/>
      <c r="J38" s="247"/>
      <c r="K38" s="247"/>
      <c r="L38" s="247"/>
      <c r="M38" s="247"/>
      <c r="N38" s="247"/>
      <c r="O38" s="247"/>
      <c r="P38" s="248"/>
      <c r="Q38" s="194">
        <f t="shared" si="4"/>
        <v>0</v>
      </c>
    </row>
    <row r="39" spans="1:17" ht="37.5">
      <c r="A39" s="103">
        <v>2</v>
      </c>
      <c r="B39" s="105" t="s">
        <v>158</v>
      </c>
      <c r="C39" s="69" t="s">
        <v>212</v>
      </c>
      <c r="D39" s="60">
        <v>100</v>
      </c>
      <c r="E39" s="61">
        <v>1.5</v>
      </c>
      <c r="F39" s="61">
        <v>5.0999999999999996</v>
      </c>
      <c r="G39" s="61">
        <v>4.5999999999999996</v>
      </c>
      <c r="H39" s="61">
        <f>Q39</f>
        <v>70.3</v>
      </c>
      <c r="I39" s="61">
        <v>0</v>
      </c>
      <c r="J39" s="61">
        <v>33</v>
      </c>
      <c r="K39" s="61">
        <v>0</v>
      </c>
      <c r="L39" s="61">
        <v>3.9</v>
      </c>
      <c r="M39" s="61">
        <v>43.6</v>
      </c>
      <c r="N39" s="61">
        <v>35</v>
      </c>
      <c r="O39" s="61">
        <v>18.5</v>
      </c>
      <c r="P39" s="142">
        <v>0.6</v>
      </c>
      <c r="Q39" s="194">
        <f t="shared" si="4"/>
        <v>70.3</v>
      </c>
    </row>
    <row r="40" spans="1:17" ht="37.5">
      <c r="A40" s="103"/>
      <c r="B40" s="106" t="s">
        <v>160</v>
      </c>
      <c r="C40" s="71" t="s">
        <v>213</v>
      </c>
      <c r="D40" s="128">
        <v>250</v>
      </c>
      <c r="E40" s="61">
        <f>(E41*2.5+E42*0.2)/2.7</f>
        <v>2.2259259259259259</v>
      </c>
      <c r="F40" s="61">
        <f t="shared" ref="F40:P40" si="14">(F41*2.5+F42*0.2)/2.7</f>
        <v>2.6481481481481479</v>
      </c>
      <c r="G40" s="61">
        <f t="shared" si="14"/>
        <v>5.8</v>
      </c>
      <c r="H40" s="61">
        <f t="shared" ref="H40:H42" si="15">Q40</f>
        <v>55.93703703703703</v>
      </c>
      <c r="I40" s="61">
        <f t="shared" si="14"/>
        <v>7.4074074074074086E-3</v>
      </c>
      <c r="J40" s="61">
        <f t="shared" si="14"/>
        <v>2.222222222222222E-2</v>
      </c>
      <c r="K40" s="61">
        <f t="shared" si="14"/>
        <v>4.1333333333333329</v>
      </c>
      <c r="L40" s="61">
        <f t="shared" si="14"/>
        <v>0.48518518518518516</v>
      </c>
      <c r="M40" s="61">
        <f t="shared" si="14"/>
        <v>12.47037037037037</v>
      </c>
      <c r="N40" s="61">
        <f t="shared" si="14"/>
        <v>12.78148148148148</v>
      </c>
      <c r="O40" s="61">
        <f t="shared" si="14"/>
        <v>40.588888888888889</v>
      </c>
      <c r="P40" s="142">
        <f t="shared" si="14"/>
        <v>0.61851851851851847</v>
      </c>
      <c r="Q40" s="194">
        <f t="shared" si="4"/>
        <v>55.93703703703703</v>
      </c>
    </row>
    <row r="41" spans="1:17" ht="18.75">
      <c r="A41" s="103"/>
      <c r="B41" s="106"/>
      <c r="C41" s="71" t="s">
        <v>206</v>
      </c>
      <c r="D41" s="68">
        <v>250</v>
      </c>
      <c r="E41" s="62">
        <v>0.9</v>
      </c>
      <c r="F41" s="62">
        <v>1.1000000000000001</v>
      </c>
      <c r="G41" s="62">
        <v>6.2</v>
      </c>
      <c r="H41" s="61">
        <f t="shared" si="15"/>
        <v>38.299999999999997</v>
      </c>
      <c r="I41" s="62">
        <v>0</v>
      </c>
      <c r="J41" s="62">
        <v>0</v>
      </c>
      <c r="K41" s="62">
        <v>4.4000000000000004</v>
      </c>
      <c r="L41" s="62">
        <v>0.5</v>
      </c>
      <c r="M41" s="62">
        <v>11.9</v>
      </c>
      <c r="N41" s="62">
        <v>11.9</v>
      </c>
      <c r="O41" s="62">
        <v>28.9</v>
      </c>
      <c r="P41" s="143">
        <v>0.5</v>
      </c>
      <c r="Q41" s="194">
        <f t="shared" si="4"/>
        <v>38.299999999999997</v>
      </c>
    </row>
    <row r="42" spans="1:17" ht="18.75">
      <c r="A42" s="103"/>
      <c r="B42" s="106"/>
      <c r="C42" s="71" t="s">
        <v>245</v>
      </c>
      <c r="D42" s="68">
        <v>20</v>
      </c>
      <c r="E42" s="51">
        <v>18.8</v>
      </c>
      <c r="F42" s="51">
        <v>22</v>
      </c>
      <c r="G42" s="51">
        <v>0.8</v>
      </c>
      <c r="H42" s="61">
        <f t="shared" si="15"/>
        <v>276.39999999999998</v>
      </c>
      <c r="I42" s="51">
        <v>0.1</v>
      </c>
      <c r="J42" s="51">
        <v>0.3</v>
      </c>
      <c r="K42" s="51">
        <v>0.8</v>
      </c>
      <c r="L42" s="51">
        <v>0.3</v>
      </c>
      <c r="M42" s="51">
        <v>19.600000000000001</v>
      </c>
      <c r="N42" s="51">
        <v>23.8</v>
      </c>
      <c r="O42" s="51">
        <v>186.7</v>
      </c>
      <c r="P42" s="156">
        <v>2.1</v>
      </c>
      <c r="Q42" s="194">
        <f t="shared" si="4"/>
        <v>276.39999999999998</v>
      </c>
    </row>
    <row r="43" spans="1:17" ht="22.15" customHeight="1">
      <c r="A43" s="103"/>
      <c r="B43" s="242" t="s">
        <v>297</v>
      </c>
      <c r="C43" s="92" t="s">
        <v>298</v>
      </c>
      <c r="D43" s="128">
        <v>90</v>
      </c>
      <c r="E43" s="218">
        <v>8.1999999999999993</v>
      </c>
      <c r="F43" s="218">
        <v>12.1</v>
      </c>
      <c r="G43" s="218">
        <v>5.6</v>
      </c>
      <c r="H43" s="61">
        <v>164.1</v>
      </c>
      <c r="I43" s="113">
        <v>0</v>
      </c>
      <c r="J43" s="113">
        <v>0.1</v>
      </c>
      <c r="K43" s="113">
        <v>1.1000000000000001</v>
      </c>
      <c r="L43" s="113">
        <v>1.5</v>
      </c>
      <c r="M43" s="113">
        <v>23.8</v>
      </c>
      <c r="N43" s="113">
        <v>136</v>
      </c>
      <c r="O43" s="113">
        <v>17.5</v>
      </c>
      <c r="P43" s="157">
        <v>1.6</v>
      </c>
      <c r="Q43" s="194">
        <f t="shared" si="4"/>
        <v>164.1</v>
      </c>
    </row>
    <row r="44" spans="1:17" ht="26.45" customHeight="1">
      <c r="A44" s="103">
        <v>2</v>
      </c>
      <c r="B44" s="95" t="s">
        <v>96</v>
      </c>
      <c r="C44" s="69" t="s">
        <v>194</v>
      </c>
      <c r="D44" s="123">
        <v>180</v>
      </c>
      <c r="E44" s="73">
        <v>5.72</v>
      </c>
      <c r="F44" s="220">
        <v>4.8600000000000003</v>
      </c>
      <c r="G44" s="220">
        <v>20.68</v>
      </c>
      <c r="H44" s="73">
        <f t="shared" ref="H44" si="16">E44*4+F44*9+G44*4</f>
        <v>149.34</v>
      </c>
      <c r="I44" s="73">
        <v>0.16</v>
      </c>
      <c r="J44" s="73">
        <v>0</v>
      </c>
      <c r="K44" s="73">
        <v>0.01</v>
      </c>
      <c r="L44" s="73">
        <v>0.4</v>
      </c>
      <c r="M44" s="73">
        <v>10.26</v>
      </c>
      <c r="N44" s="73">
        <v>135.55000000000001</v>
      </c>
      <c r="O44" s="73">
        <v>90.32</v>
      </c>
      <c r="P44" s="146">
        <v>3.1</v>
      </c>
      <c r="Q44" s="194">
        <f t="shared" si="4"/>
        <v>149.34</v>
      </c>
    </row>
    <row r="45" spans="1:17" ht="21" customHeight="1">
      <c r="A45" s="103"/>
      <c r="B45" s="106" t="s">
        <v>154</v>
      </c>
      <c r="C45" s="59" t="s">
        <v>56</v>
      </c>
      <c r="D45" s="123">
        <v>150</v>
      </c>
      <c r="E45" s="62">
        <v>0.33</v>
      </c>
      <c r="F45" s="62">
        <v>0.05</v>
      </c>
      <c r="G45" s="62">
        <v>14.01</v>
      </c>
      <c r="H45" s="61">
        <f>Q45</f>
        <v>57.81</v>
      </c>
      <c r="I45" s="62">
        <v>0.01</v>
      </c>
      <c r="J45" s="62">
        <v>0.34</v>
      </c>
      <c r="K45" s="62">
        <v>0</v>
      </c>
      <c r="L45" s="62">
        <v>0.25</v>
      </c>
      <c r="M45" s="62">
        <v>16.18</v>
      </c>
      <c r="N45" s="62">
        <v>11.72</v>
      </c>
      <c r="O45" s="62">
        <v>8.73</v>
      </c>
      <c r="P45" s="143">
        <v>0.34399999999999997</v>
      </c>
      <c r="Q45" s="194">
        <f t="shared" si="4"/>
        <v>57.81</v>
      </c>
    </row>
    <row r="46" spans="1:17" ht="21" customHeight="1">
      <c r="A46" s="103">
        <v>2</v>
      </c>
      <c r="B46" s="95" t="s">
        <v>57</v>
      </c>
      <c r="C46" s="69" t="s">
        <v>20</v>
      </c>
      <c r="D46" s="123">
        <v>40</v>
      </c>
      <c r="E46" s="63">
        <v>7.6666666666666661</v>
      </c>
      <c r="F46" s="63">
        <v>0.66666666666666674</v>
      </c>
      <c r="G46" s="63">
        <v>49.333333333333336</v>
      </c>
      <c r="H46" s="61">
        <f t="shared" ref="H46:H48" si="17">Q46</f>
        <v>234</v>
      </c>
      <c r="I46" s="63">
        <v>0</v>
      </c>
      <c r="J46" s="63">
        <v>0</v>
      </c>
      <c r="K46" s="63">
        <v>0</v>
      </c>
      <c r="L46" s="63">
        <v>1</v>
      </c>
      <c r="M46" s="63">
        <v>20</v>
      </c>
      <c r="N46" s="63">
        <v>65</v>
      </c>
      <c r="O46" s="63">
        <v>14.000000000000002</v>
      </c>
      <c r="P46" s="151">
        <v>1</v>
      </c>
      <c r="Q46" s="194">
        <f t="shared" si="4"/>
        <v>234</v>
      </c>
    </row>
    <row r="47" spans="1:17" ht="21.6" customHeight="1">
      <c r="A47" s="103">
        <v>2</v>
      </c>
      <c r="B47" s="95" t="s">
        <v>150</v>
      </c>
      <c r="C47" s="69" t="s">
        <v>21</v>
      </c>
      <c r="D47" s="123">
        <v>50</v>
      </c>
      <c r="E47" s="63">
        <v>6.5</v>
      </c>
      <c r="F47" s="70">
        <v>1.25</v>
      </c>
      <c r="G47" s="63">
        <v>39.5</v>
      </c>
      <c r="H47" s="61">
        <f t="shared" si="17"/>
        <v>195.25</v>
      </c>
      <c r="I47" s="70">
        <v>0.25</v>
      </c>
      <c r="J47" s="70">
        <v>0</v>
      </c>
      <c r="K47" s="70">
        <v>0</v>
      </c>
      <c r="L47" s="70">
        <v>1.5</v>
      </c>
      <c r="M47" s="70">
        <v>28.999999999999996</v>
      </c>
      <c r="N47" s="70">
        <v>150</v>
      </c>
      <c r="O47" s="70">
        <v>47</v>
      </c>
      <c r="P47" s="153">
        <v>4</v>
      </c>
      <c r="Q47" s="194">
        <f t="shared" si="4"/>
        <v>195.25</v>
      </c>
    </row>
    <row r="48" spans="1:17" ht="19.149999999999999" customHeight="1">
      <c r="A48" s="103">
        <v>2</v>
      </c>
      <c r="B48" s="95"/>
      <c r="C48" s="58" t="s">
        <v>216</v>
      </c>
      <c r="D48" s="123">
        <v>150</v>
      </c>
      <c r="E48" s="63">
        <v>0.4</v>
      </c>
      <c r="F48" s="70">
        <v>0.4</v>
      </c>
      <c r="G48" s="63">
        <v>9.8000000000000007</v>
      </c>
      <c r="H48" s="61">
        <f t="shared" si="17"/>
        <v>44.400000000000006</v>
      </c>
      <c r="I48" s="70">
        <v>0.03</v>
      </c>
      <c r="J48" s="70">
        <v>10</v>
      </c>
      <c r="K48" s="70">
        <v>0</v>
      </c>
      <c r="L48" s="70">
        <v>0.2</v>
      </c>
      <c r="M48" s="70">
        <v>16</v>
      </c>
      <c r="N48" s="70">
        <v>11</v>
      </c>
      <c r="O48" s="70">
        <v>9</v>
      </c>
      <c r="P48" s="153">
        <v>2.2000000000000002</v>
      </c>
      <c r="Q48" s="194">
        <f t="shared" si="4"/>
        <v>44.400000000000006</v>
      </c>
    </row>
    <row r="49" spans="1:20" ht="18.75">
      <c r="A49" s="103">
        <v>2</v>
      </c>
      <c r="B49" s="95"/>
      <c r="C49" s="95" t="s">
        <v>18</v>
      </c>
      <c r="D49" s="60">
        <f>SUM(D39:D48)</f>
        <v>1280</v>
      </c>
      <c r="E49" s="97">
        <f t="shared" ref="E49:P49" si="18">SUM(E39:E48)</f>
        <v>52.242592592592587</v>
      </c>
      <c r="F49" s="97">
        <f t="shared" si="18"/>
        <v>50.174814814814809</v>
      </c>
      <c r="G49" s="97">
        <f t="shared" si="18"/>
        <v>156.32333333333335</v>
      </c>
      <c r="H49" s="97">
        <f t="shared" si="18"/>
        <v>1285.8370370370371</v>
      </c>
      <c r="I49" s="97">
        <f t="shared" si="18"/>
        <v>0.55740740740740746</v>
      </c>
      <c r="J49" s="97">
        <f t="shared" si="18"/>
        <v>43.762222222222228</v>
      </c>
      <c r="K49" s="97">
        <f t="shared" si="18"/>
        <v>10.443333333333333</v>
      </c>
      <c r="L49" s="97">
        <f t="shared" si="18"/>
        <v>10.035185185185185</v>
      </c>
      <c r="M49" s="97">
        <f t="shared" si="18"/>
        <v>202.81037037037038</v>
      </c>
      <c r="N49" s="97">
        <f t="shared" si="18"/>
        <v>592.75148148148151</v>
      </c>
      <c r="O49" s="97">
        <f t="shared" si="18"/>
        <v>461.23888888888888</v>
      </c>
      <c r="P49" s="154">
        <f t="shared" si="18"/>
        <v>16.06251851851852</v>
      </c>
      <c r="Q49" s="194">
        <f t="shared" si="4"/>
        <v>1285.8370370370371</v>
      </c>
      <c r="R49" s="131"/>
      <c r="S49" s="131"/>
      <c r="T49" s="131"/>
    </row>
    <row r="50" spans="1:20" ht="18.75">
      <c r="A50" s="103">
        <v>2</v>
      </c>
      <c r="B50" s="247" t="s">
        <v>22</v>
      </c>
      <c r="C50" s="247"/>
      <c r="D50" s="247"/>
      <c r="E50" s="247"/>
      <c r="F50" s="247"/>
      <c r="G50" s="247"/>
      <c r="H50" s="247"/>
      <c r="I50" s="247"/>
      <c r="J50" s="247"/>
      <c r="K50" s="247"/>
      <c r="L50" s="247"/>
      <c r="M50" s="247"/>
      <c r="N50" s="247"/>
      <c r="O50" s="247"/>
      <c r="P50" s="248"/>
      <c r="Q50" s="194">
        <f t="shared" si="4"/>
        <v>0</v>
      </c>
    </row>
    <row r="51" spans="1:20" ht="25.15" customHeight="1">
      <c r="A51" s="103">
        <v>2</v>
      </c>
      <c r="B51" s="105" t="s">
        <v>97</v>
      </c>
      <c r="C51" s="57" t="s">
        <v>168</v>
      </c>
      <c r="D51" s="123">
        <v>120</v>
      </c>
      <c r="E51" s="225">
        <v>10</v>
      </c>
      <c r="F51" s="72">
        <v>12</v>
      </c>
      <c r="G51" s="72">
        <v>33</v>
      </c>
      <c r="H51" s="72">
        <f>Q51</f>
        <v>280</v>
      </c>
      <c r="I51" s="72">
        <v>0.13</v>
      </c>
      <c r="J51" s="72">
        <v>0</v>
      </c>
      <c r="K51" s="72">
        <v>0</v>
      </c>
      <c r="L51" s="72">
        <v>1.7</v>
      </c>
      <c r="M51" s="72">
        <v>7</v>
      </c>
      <c r="N51" s="72">
        <v>63</v>
      </c>
      <c r="O51" s="72">
        <v>25</v>
      </c>
      <c r="P51" s="146">
        <v>1.4</v>
      </c>
      <c r="Q51" s="194">
        <f t="shared" si="4"/>
        <v>280</v>
      </c>
    </row>
    <row r="52" spans="1:20" ht="25.9" customHeight="1">
      <c r="A52" s="103"/>
      <c r="B52" s="95" t="s">
        <v>192</v>
      </c>
      <c r="C52" s="57" t="s">
        <v>26</v>
      </c>
      <c r="D52" s="123">
        <v>200</v>
      </c>
      <c r="E52" s="62">
        <v>0.04</v>
      </c>
      <c r="F52" s="62">
        <v>0.01</v>
      </c>
      <c r="G52" s="62">
        <v>7.5</v>
      </c>
      <c r="H52" s="72">
        <f>Q52</f>
        <v>30.25</v>
      </c>
      <c r="I52" s="62">
        <v>0</v>
      </c>
      <c r="J52" s="62">
        <v>0.02</v>
      </c>
      <c r="K52" s="62">
        <v>0</v>
      </c>
      <c r="L52" s="62">
        <v>0</v>
      </c>
      <c r="M52" s="62">
        <v>5.55</v>
      </c>
      <c r="N52" s="62">
        <v>1.4</v>
      </c>
      <c r="O52" s="62">
        <v>0.7</v>
      </c>
      <c r="P52" s="143">
        <v>0.14000000000000001</v>
      </c>
      <c r="Q52" s="194">
        <f t="shared" si="4"/>
        <v>30.25</v>
      </c>
    </row>
    <row r="53" spans="1:20" ht="15" customHeight="1">
      <c r="A53" s="103">
        <v>1</v>
      </c>
      <c r="B53" s="74"/>
      <c r="C53" s="95" t="s">
        <v>18</v>
      </c>
      <c r="D53" s="123">
        <f>SUM(D51:D52)</f>
        <v>320</v>
      </c>
      <c r="E53" s="97">
        <f t="shared" ref="E53:P53" si="19">SUM(E51:E52)</f>
        <v>10.039999999999999</v>
      </c>
      <c r="F53" s="97">
        <f t="shared" si="19"/>
        <v>12.01</v>
      </c>
      <c r="G53" s="97">
        <f t="shared" si="19"/>
        <v>40.5</v>
      </c>
      <c r="H53" s="97">
        <f t="shared" si="19"/>
        <v>310.25</v>
      </c>
      <c r="I53" s="97">
        <f t="shared" si="19"/>
        <v>0.13</v>
      </c>
      <c r="J53" s="97">
        <f t="shared" si="19"/>
        <v>0.02</v>
      </c>
      <c r="K53" s="97">
        <f t="shared" si="19"/>
        <v>0</v>
      </c>
      <c r="L53" s="97">
        <f t="shared" si="19"/>
        <v>1.7</v>
      </c>
      <c r="M53" s="97">
        <f t="shared" si="19"/>
        <v>12.55</v>
      </c>
      <c r="N53" s="97">
        <f t="shared" si="19"/>
        <v>64.400000000000006</v>
      </c>
      <c r="O53" s="97">
        <f t="shared" si="19"/>
        <v>25.7</v>
      </c>
      <c r="P53" s="154">
        <f t="shared" si="19"/>
        <v>1.54</v>
      </c>
      <c r="Q53" s="194">
        <f t="shared" si="4"/>
        <v>310.25</v>
      </c>
    </row>
    <row r="54" spans="1:20" ht="18.75">
      <c r="A54" s="103">
        <v>2</v>
      </c>
      <c r="B54" s="74"/>
      <c r="C54" s="95" t="s">
        <v>25</v>
      </c>
      <c r="D54" s="60">
        <f>D53+D49+D37</f>
        <v>2170</v>
      </c>
      <c r="E54" s="97">
        <f t="shared" ref="E54:P54" si="20">E37+E49+E53</f>
        <v>83.289259259259239</v>
      </c>
      <c r="F54" s="96">
        <f t="shared" si="20"/>
        <v>117.97148148148149</v>
      </c>
      <c r="G54" s="97">
        <f t="shared" si="20"/>
        <v>329.34666666666669</v>
      </c>
      <c r="H54" s="97">
        <f t="shared" si="20"/>
        <v>2712.2870370370374</v>
      </c>
      <c r="I54" s="96">
        <f t="shared" si="20"/>
        <v>0.92740740740740746</v>
      </c>
      <c r="J54" s="96">
        <f t="shared" si="20"/>
        <v>58.57222222222223</v>
      </c>
      <c r="K54" s="96">
        <f t="shared" si="20"/>
        <v>10.853333333333333</v>
      </c>
      <c r="L54" s="96">
        <f t="shared" si="20"/>
        <v>13.735185185185184</v>
      </c>
      <c r="M54" s="96">
        <f t="shared" si="20"/>
        <v>396.77037037037036</v>
      </c>
      <c r="N54" s="96">
        <f t="shared" si="20"/>
        <v>986.03148148148148</v>
      </c>
      <c r="O54" s="96">
        <f t="shared" si="20"/>
        <v>551.60888888888894</v>
      </c>
      <c r="P54" s="141">
        <f t="shared" si="20"/>
        <v>22.142518518518518</v>
      </c>
      <c r="Q54" s="194">
        <f t="shared" si="4"/>
        <v>2712.287037037037</v>
      </c>
    </row>
    <row r="55" spans="1:20" ht="18.75">
      <c r="A55" s="103">
        <v>2</v>
      </c>
      <c r="B55" s="247" t="s">
        <v>17</v>
      </c>
      <c r="C55" s="247"/>
      <c r="D55" s="247"/>
      <c r="E55" s="247"/>
      <c r="F55" s="247"/>
      <c r="G55" s="247"/>
      <c r="H55" s="247"/>
      <c r="I55" s="247"/>
      <c r="J55" s="247"/>
      <c r="K55" s="247"/>
      <c r="L55" s="247"/>
      <c r="M55" s="247"/>
      <c r="N55" s="247"/>
      <c r="O55" s="247"/>
      <c r="P55" s="248"/>
      <c r="Q55" s="194">
        <f t="shared" si="4"/>
        <v>0</v>
      </c>
    </row>
    <row r="56" spans="1:20" ht="56.25">
      <c r="A56" s="103">
        <v>3</v>
      </c>
      <c r="B56" s="65" t="s">
        <v>217</v>
      </c>
      <c r="C56" s="57" t="s">
        <v>173</v>
      </c>
      <c r="D56" s="128">
        <v>200</v>
      </c>
      <c r="E56" s="61">
        <v>3.8</v>
      </c>
      <c r="F56" s="216">
        <v>6.2</v>
      </c>
      <c r="G56" s="216">
        <v>16.5</v>
      </c>
      <c r="H56" s="216">
        <v>137</v>
      </c>
      <c r="I56" s="61">
        <f t="shared" ref="I56:P56" si="21">(I57*2+I58*0.05)/2.05</f>
        <v>8.8048780487804887E-2</v>
      </c>
      <c r="J56" s="61">
        <f t="shared" si="21"/>
        <v>0.44878048780487811</v>
      </c>
      <c r="K56" s="61">
        <f t="shared" si="21"/>
        <v>2.9268292682926834E-2</v>
      </c>
      <c r="L56" s="61">
        <f t="shared" si="21"/>
        <v>0.31707317073170738</v>
      </c>
      <c r="M56" s="61">
        <f t="shared" si="21"/>
        <v>70.048780487804876</v>
      </c>
      <c r="N56" s="61">
        <f t="shared" si="21"/>
        <v>109.90243902439026</v>
      </c>
      <c r="O56" s="61">
        <f t="shared" si="21"/>
        <v>32.878048780487809</v>
      </c>
      <c r="P56" s="142">
        <f t="shared" si="21"/>
        <v>0.78536585365853673</v>
      </c>
      <c r="Q56" s="194">
        <f t="shared" si="4"/>
        <v>137</v>
      </c>
    </row>
    <row r="57" spans="1:20" ht="18.75">
      <c r="A57" s="103"/>
      <c r="B57" s="65"/>
      <c r="C57" s="57" t="s">
        <v>246</v>
      </c>
      <c r="D57" s="68">
        <v>200</v>
      </c>
      <c r="E57" s="62">
        <v>4</v>
      </c>
      <c r="F57" s="62">
        <v>6.2</v>
      </c>
      <c r="G57" s="62">
        <v>17.899999999999999</v>
      </c>
      <c r="H57" s="61">
        <f>Q57</f>
        <v>143.4</v>
      </c>
      <c r="I57" s="62">
        <v>0.09</v>
      </c>
      <c r="J57" s="62">
        <v>0.46</v>
      </c>
      <c r="K57" s="62">
        <v>0.02</v>
      </c>
      <c r="L57" s="62">
        <v>0.3</v>
      </c>
      <c r="M57" s="62">
        <v>71.2</v>
      </c>
      <c r="N57" s="62">
        <v>111.9</v>
      </c>
      <c r="O57" s="62">
        <v>33.700000000000003</v>
      </c>
      <c r="P57" s="143">
        <v>0.8</v>
      </c>
      <c r="Q57" s="194">
        <f t="shared" si="4"/>
        <v>143.4</v>
      </c>
    </row>
    <row r="58" spans="1:20" ht="18.75">
      <c r="A58" s="103"/>
      <c r="B58" s="65"/>
      <c r="C58" s="57" t="s">
        <v>247</v>
      </c>
      <c r="D58" s="68">
        <v>5</v>
      </c>
      <c r="E58" s="62">
        <v>0.8</v>
      </c>
      <c r="F58" s="62">
        <v>72.5</v>
      </c>
      <c r="G58" s="62">
        <v>1.3</v>
      </c>
      <c r="H58" s="61">
        <f t="shared" ref="H58:H62" si="22">Q58</f>
        <v>660.90000000000009</v>
      </c>
      <c r="I58" s="107">
        <v>0.01</v>
      </c>
      <c r="J58" s="108">
        <v>0</v>
      </c>
      <c r="K58" s="108">
        <v>0.4</v>
      </c>
      <c r="L58" s="108">
        <v>1</v>
      </c>
      <c r="M58" s="108">
        <v>24</v>
      </c>
      <c r="N58" s="61">
        <v>30</v>
      </c>
      <c r="O58" s="108">
        <v>0</v>
      </c>
      <c r="P58" s="144">
        <v>0.2</v>
      </c>
      <c r="Q58" s="194">
        <f t="shared" si="4"/>
        <v>660.90000000000009</v>
      </c>
    </row>
    <row r="59" spans="1:20" ht="26.45" customHeight="1">
      <c r="A59" s="103">
        <v>3</v>
      </c>
      <c r="B59" s="106" t="s">
        <v>98</v>
      </c>
      <c r="C59" s="75" t="s">
        <v>24</v>
      </c>
      <c r="D59" s="68">
        <v>40</v>
      </c>
      <c r="E59" s="61">
        <v>8</v>
      </c>
      <c r="F59" s="61">
        <v>0.25</v>
      </c>
      <c r="G59" s="61">
        <v>53</v>
      </c>
      <c r="H59" s="61">
        <f t="shared" si="22"/>
        <v>246.25</v>
      </c>
      <c r="I59" s="61">
        <v>0.2</v>
      </c>
      <c r="J59" s="61">
        <v>4</v>
      </c>
      <c r="K59" s="61">
        <v>0</v>
      </c>
      <c r="L59" s="61">
        <v>0</v>
      </c>
      <c r="M59" s="61">
        <v>38</v>
      </c>
      <c r="N59" s="61">
        <v>130</v>
      </c>
      <c r="O59" s="61">
        <v>26</v>
      </c>
      <c r="P59" s="143">
        <v>2.5</v>
      </c>
      <c r="Q59" s="194">
        <f t="shared" si="4"/>
        <v>246.25</v>
      </c>
      <c r="R59" s="132"/>
    </row>
    <row r="60" spans="1:20" ht="20.45" customHeight="1">
      <c r="A60" s="103">
        <v>3</v>
      </c>
      <c r="B60" s="112" t="s">
        <v>218</v>
      </c>
      <c r="C60" s="57" t="s">
        <v>169</v>
      </c>
      <c r="D60" s="123">
        <v>20</v>
      </c>
      <c r="E60" s="62">
        <v>23.2</v>
      </c>
      <c r="F60" s="62">
        <v>29.5</v>
      </c>
      <c r="G60" s="62">
        <v>0</v>
      </c>
      <c r="H60" s="61">
        <f t="shared" si="22"/>
        <v>358.3</v>
      </c>
      <c r="I60" s="62">
        <v>0</v>
      </c>
      <c r="J60" s="62">
        <v>0.7</v>
      </c>
      <c r="K60" s="62">
        <v>0.26</v>
      </c>
      <c r="L60" s="62">
        <v>0.5</v>
      </c>
      <c r="M60" s="62">
        <v>880</v>
      </c>
      <c r="N60" s="62">
        <v>500</v>
      </c>
      <c r="O60" s="62">
        <v>35</v>
      </c>
      <c r="P60" s="143">
        <v>1</v>
      </c>
      <c r="Q60" s="194">
        <f t="shared" si="4"/>
        <v>358.3</v>
      </c>
    </row>
    <row r="61" spans="1:20" ht="20.45" customHeight="1">
      <c r="A61" s="103">
        <v>3</v>
      </c>
      <c r="B61" s="76"/>
      <c r="C61" s="57" t="s">
        <v>216</v>
      </c>
      <c r="D61" s="123">
        <v>150</v>
      </c>
      <c r="E61" s="63">
        <v>0.4</v>
      </c>
      <c r="F61" s="70">
        <v>0.4</v>
      </c>
      <c r="G61" s="63">
        <v>9.8000000000000007</v>
      </c>
      <c r="H61" s="61">
        <f t="shared" si="22"/>
        <v>44.400000000000006</v>
      </c>
      <c r="I61" s="70">
        <v>0.03</v>
      </c>
      <c r="J61" s="70">
        <v>10</v>
      </c>
      <c r="K61" s="70">
        <v>0</v>
      </c>
      <c r="L61" s="70">
        <v>0.2</v>
      </c>
      <c r="M61" s="70">
        <v>16</v>
      </c>
      <c r="N61" s="70">
        <v>11</v>
      </c>
      <c r="O61" s="70">
        <v>9</v>
      </c>
      <c r="P61" s="153">
        <v>2.2000000000000002</v>
      </c>
      <c r="Q61" s="194">
        <f t="shared" si="4"/>
        <v>44.400000000000006</v>
      </c>
    </row>
    <row r="62" spans="1:20" ht="28.9" customHeight="1">
      <c r="A62" s="103">
        <v>3</v>
      </c>
      <c r="B62" s="106" t="s">
        <v>189</v>
      </c>
      <c r="C62" s="77" t="s">
        <v>152</v>
      </c>
      <c r="D62" s="123">
        <v>200</v>
      </c>
      <c r="E62" s="62">
        <v>7.0000000000000007E-2</v>
      </c>
      <c r="F62" s="62">
        <v>0.01</v>
      </c>
      <c r="G62" s="62">
        <v>7.6</v>
      </c>
      <c r="H62" s="61">
        <f t="shared" si="22"/>
        <v>30.77</v>
      </c>
      <c r="I62" s="62">
        <v>0</v>
      </c>
      <c r="J62" s="62">
        <v>1.42</v>
      </c>
      <c r="K62" s="62">
        <v>0</v>
      </c>
      <c r="L62" s="62">
        <v>0.01</v>
      </c>
      <c r="M62" s="62">
        <v>7.1</v>
      </c>
      <c r="N62" s="62">
        <v>2.2000000000000002</v>
      </c>
      <c r="O62" s="62">
        <v>1.2</v>
      </c>
      <c r="P62" s="143">
        <v>0.18</v>
      </c>
      <c r="Q62" s="194">
        <f t="shared" si="4"/>
        <v>30.77</v>
      </c>
    </row>
    <row r="63" spans="1:20" ht="15.75" customHeight="1">
      <c r="A63" s="103">
        <v>3</v>
      </c>
      <c r="B63" s="95"/>
      <c r="C63" s="96" t="s">
        <v>18</v>
      </c>
      <c r="D63" s="123">
        <f>SUM(D56:D62)</f>
        <v>815</v>
      </c>
      <c r="E63" s="97">
        <f>SUM(E56:E62)</f>
        <v>40.269999999999996</v>
      </c>
      <c r="F63" s="97">
        <f t="shared" ref="F63:P63" si="23">SUM(F56:F62)</f>
        <v>115.06000000000002</v>
      </c>
      <c r="G63" s="97">
        <f t="shared" si="23"/>
        <v>106.09999999999998</v>
      </c>
      <c r="H63" s="97">
        <f t="shared" si="23"/>
        <v>1621.0200000000002</v>
      </c>
      <c r="I63" s="97">
        <f t="shared" si="23"/>
        <v>0.41804878048780492</v>
      </c>
      <c r="J63" s="97">
        <f t="shared" si="23"/>
        <v>17.02878048780488</v>
      </c>
      <c r="K63" s="97">
        <f t="shared" si="23"/>
        <v>0.70926829268292679</v>
      </c>
      <c r="L63" s="97">
        <f t="shared" si="23"/>
        <v>2.3270731707317074</v>
      </c>
      <c r="M63" s="97">
        <f t="shared" si="23"/>
        <v>1106.3487804878048</v>
      </c>
      <c r="N63" s="97">
        <f t="shared" si="23"/>
        <v>895.00243902439024</v>
      </c>
      <c r="O63" s="97">
        <f t="shared" si="23"/>
        <v>137.77804878048781</v>
      </c>
      <c r="P63" s="154">
        <f t="shared" si="23"/>
        <v>7.6653658536585363</v>
      </c>
      <c r="Q63" s="194">
        <f t="shared" si="4"/>
        <v>1621.02</v>
      </c>
    </row>
    <row r="64" spans="1:20" ht="18.75">
      <c r="A64" s="103">
        <v>3</v>
      </c>
      <c r="B64" s="247" t="s">
        <v>19</v>
      </c>
      <c r="C64" s="247"/>
      <c r="D64" s="247"/>
      <c r="E64" s="247"/>
      <c r="F64" s="247"/>
      <c r="G64" s="247"/>
      <c r="H64" s="247"/>
      <c r="I64" s="247"/>
      <c r="J64" s="247"/>
      <c r="K64" s="247"/>
      <c r="L64" s="247"/>
      <c r="M64" s="247"/>
      <c r="N64" s="247"/>
      <c r="O64" s="247"/>
      <c r="P64" s="248"/>
      <c r="Q64" s="194">
        <f t="shared" si="4"/>
        <v>0</v>
      </c>
    </row>
    <row r="65" spans="1:17" ht="34.15" customHeight="1">
      <c r="A65" s="103">
        <v>3</v>
      </c>
      <c r="B65" s="106" t="s">
        <v>220</v>
      </c>
      <c r="C65" s="67" t="s">
        <v>219</v>
      </c>
      <c r="D65" s="123">
        <v>100</v>
      </c>
      <c r="E65" s="62">
        <v>6.44</v>
      </c>
      <c r="F65" s="62">
        <v>5.59</v>
      </c>
      <c r="G65" s="62">
        <v>37.85</v>
      </c>
      <c r="H65" s="61">
        <f>Q65</f>
        <v>227.47000000000003</v>
      </c>
      <c r="I65" s="62">
        <v>0</v>
      </c>
      <c r="J65" s="62">
        <v>0.35</v>
      </c>
      <c r="K65" s="62">
        <v>0</v>
      </c>
      <c r="L65" s="62">
        <v>3.43</v>
      </c>
      <c r="M65" s="62">
        <v>84.32</v>
      </c>
      <c r="N65" s="62">
        <v>77.22</v>
      </c>
      <c r="O65" s="62">
        <v>297.75</v>
      </c>
      <c r="P65" s="143">
        <v>3.9</v>
      </c>
      <c r="Q65" s="194">
        <f t="shared" si="4"/>
        <v>227.47000000000003</v>
      </c>
    </row>
    <row r="66" spans="1:17" ht="18.75">
      <c r="A66" s="103">
        <v>3</v>
      </c>
      <c r="B66" s="105" t="s">
        <v>190</v>
      </c>
      <c r="C66" s="67" t="s">
        <v>221</v>
      </c>
      <c r="D66" s="123">
        <v>250</v>
      </c>
      <c r="E66" s="93">
        <f>(E67*2.5+E68*0.1)/2.6</f>
        <v>0.77307692307692299</v>
      </c>
      <c r="F66" s="93">
        <f t="shared" ref="F66:P66" si="24">(F67*2.5+F68*0.1)/2.6</f>
        <v>3.2692307692307692</v>
      </c>
      <c r="G66" s="217">
        <v>5.9</v>
      </c>
      <c r="H66" s="61">
        <f t="shared" ref="H66:H73" si="25">Q66</f>
        <v>56.11538461538462</v>
      </c>
      <c r="I66" s="93">
        <f t="shared" si="24"/>
        <v>1.1538461538461537E-3</v>
      </c>
      <c r="J66" s="93">
        <f t="shared" si="24"/>
        <v>0.11153846153846154</v>
      </c>
      <c r="K66" s="93">
        <f t="shared" si="24"/>
        <v>7.7884615384615383</v>
      </c>
      <c r="L66" s="93">
        <f t="shared" si="24"/>
        <v>0.79615384615384621</v>
      </c>
      <c r="M66" s="93">
        <f t="shared" si="24"/>
        <v>13.476923076923077</v>
      </c>
      <c r="N66" s="93">
        <f t="shared" si="24"/>
        <v>10.326923076923077</v>
      </c>
      <c r="O66" s="93">
        <f t="shared" si="24"/>
        <v>19.288461538461537</v>
      </c>
      <c r="P66" s="149">
        <f t="shared" si="24"/>
        <v>0.58461538461538465</v>
      </c>
      <c r="Q66" s="194">
        <f t="shared" si="4"/>
        <v>56.11538461538462</v>
      </c>
    </row>
    <row r="67" spans="1:17" ht="22.15" customHeight="1">
      <c r="A67" s="103"/>
      <c r="B67" s="95"/>
      <c r="C67" s="67" t="s">
        <v>112</v>
      </c>
      <c r="D67" s="123">
        <v>250</v>
      </c>
      <c r="E67" s="93">
        <v>0.7</v>
      </c>
      <c r="F67" s="93">
        <v>2.8</v>
      </c>
      <c r="G67" s="93">
        <v>6.2</v>
      </c>
      <c r="H67" s="61">
        <f t="shared" si="25"/>
        <v>52.8</v>
      </c>
      <c r="I67" s="93">
        <v>0</v>
      </c>
      <c r="J67" s="93">
        <v>0.1</v>
      </c>
      <c r="K67" s="93">
        <v>4.0999999999999996</v>
      </c>
      <c r="L67" s="93">
        <v>0.7</v>
      </c>
      <c r="M67" s="93">
        <v>14</v>
      </c>
      <c r="N67" s="93">
        <v>8.3000000000000007</v>
      </c>
      <c r="O67" s="93">
        <v>19.7</v>
      </c>
      <c r="P67" s="149">
        <v>0.6</v>
      </c>
      <c r="Q67" s="194">
        <f t="shared" si="4"/>
        <v>52.8</v>
      </c>
    </row>
    <row r="68" spans="1:17" s="133" customFormat="1" ht="18.75">
      <c r="A68" s="114"/>
      <c r="B68" s="95"/>
      <c r="C68" s="67" t="s">
        <v>222</v>
      </c>
      <c r="D68" s="123">
        <v>10</v>
      </c>
      <c r="E68" s="62">
        <v>2.6</v>
      </c>
      <c r="F68" s="62">
        <v>15</v>
      </c>
      <c r="G68" s="62">
        <v>3.6</v>
      </c>
      <c r="H68" s="61">
        <f t="shared" si="25"/>
        <v>159.80000000000001</v>
      </c>
      <c r="I68" s="62">
        <v>0.03</v>
      </c>
      <c r="J68" s="62">
        <v>0.4</v>
      </c>
      <c r="K68" s="62">
        <v>100</v>
      </c>
      <c r="L68" s="62">
        <v>3.2</v>
      </c>
      <c r="M68" s="62">
        <v>0.4</v>
      </c>
      <c r="N68" s="62">
        <v>61</v>
      </c>
      <c r="O68" s="62">
        <v>9</v>
      </c>
      <c r="P68" s="143">
        <v>0.2</v>
      </c>
      <c r="Q68" s="194">
        <f t="shared" si="4"/>
        <v>159.80000000000001</v>
      </c>
    </row>
    <row r="69" spans="1:17" ht="20.45" customHeight="1">
      <c r="A69" s="103">
        <v>3</v>
      </c>
      <c r="B69" s="95" t="s">
        <v>223</v>
      </c>
      <c r="C69" s="94" t="s">
        <v>291</v>
      </c>
      <c r="D69" s="219">
        <v>100</v>
      </c>
      <c r="E69" s="215">
        <v>12.2</v>
      </c>
      <c r="F69" s="62">
        <v>4.0999999999999996</v>
      </c>
      <c r="G69" s="62">
        <v>2.2999999999999998</v>
      </c>
      <c r="H69" s="61">
        <f t="shared" si="25"/>
        <v>94.899999999999991</v>
      </c>
      <c r="I69" s="62">
        <v>0</v>
      </c>
      <c r="J69" s="62">
        <v>0.1</v>
      </c>
      <c r="K69" s="62">
        <v>1.1000000000000001</v>
      </c>
      <c r="L69" s="62">
        <v>1.9</v>
      </c>
      <c r="M69" s="62">
        <v>48</v>
      </c>
      <c r="N69" s="62">
        <v>57.1</v>
      </c>
      <c r="O69" s="62">
        <v>224.9</v>
      </c>
      <c r="P69" s="143">
        <v>1</v>
      </c>
      <c r="Q69" s="194">
        <f t="shared" si="4"/>
        <v>94.899999999999991</v>
      </c>
    </row>
    <row r="70" spans="1:17" ht="22.9" customHeight="1">
      <c r="A70" s="103">
        <v>3</v>
      </c>
      <c r="B70" s="106" t="s">
        <v>58</v>
      </c>
      <c r="C70" s="94" t="s">
        <v>51</v>
      </c>
      <c r="D70" s="123">
        <v>180</v>
      </c>
      <c r="E70" s="61">
        <v>2.04</v>
      </c>
      <c r="F70" s="61">
        <v>3.2</v>
      </c>
      <c r="G70" s="61">
        <v>13.63</v>
      </c>
      <c r="H70" s="61">
        <f t="shared" si="25"/>
        <v>91.48</v>
      </c>
      <c r="I70" s="61">
        <v>0.09</v>
      </c>
      <c r="J70" s="61">
        <v>12.11</v>
      </c>
      <c r="K70" s="61">
        <v>0.02</v>
      </c>
      <c r="L70" s="61">
        <v>0.12</v>
      </c>
      <c r="M70" s="61">
        <v>24.65</v>
      </c>
      <c r="N70" s="61">
        <v>57.73</v>
      </c>
      <c r="O70" s="61">
        <v>18.5</v>
      </c>
      <c r="P70" s="142">
        <v>0.67</v>
      </c>
      <c r="Q70" s="194">
        <f t="shared" si="4"/>
        <v>91.48</v>
      </c>
    </row>
    <row r="71" spans="1:17" ht="25.9" customHeight="1">
      <c r="A71" s="103">
        <v>3</v>
      </c>
      <c r="B71" s="78" t="s">
        <v>151</v>
      </c>
      <c r="C71" s="59" t="s">
        <v>49</v>
      </c>
      <c r="D71" s="123">
        <v>200</v>
      </c>
      <c r="E71" s="62">
        <v>0.08</v>
      </c>
      <c r="F71" s="62">
        <v>0.08</v>
      </c>
      <c r="G71" s="62">
        <v>9.94</v>
      </c>
      <c r="H71" s="61">
        <f t="shared" si="25"/>
        <v>40.799999999999997</v>
      </c>
      <c r="I71" s="62">
        <v>0.01</v>
      </c>
      <c r="J71" s="62">
        <v>0.45</v>
      </c>
      <c r="K71" s="62">
        <v>0</v>
      </c>
      <c r="L71" s="62">
        <v>0.04</v>
      </c>
      <c r="M71" s="62">
        <v>6.97</v>
      </c>
      <c r="N71" s="62">
        <v>2.2000000000000002</v>
      </c>
      <c r="O71" s="62">
        <v>2.57</v>
      </c>
      <c r="P71" s="143">
        <v>0.46800000000000003</v>
      </c>
      <c r="Q71" s="194">
        <f t="shared" si="4"/>
        <v>40.799999999999997</v>
      </c>
    </row>
    <row r="72" spans="1:17" ht="19.899999999999999" customHeight="1">
      <c r="A72" s="103">
        <v>3</v>
      </c>
      <c r="B72" s="95" t="s">
        <v>57</v>
      </c>
      <c r="C72" s="69" t="s">
        <v>20</v>
      </c>
      <c r="D72" s="60">
        <v>40</v>
      </c>
      <c r="E72" s="79">
        <v>7.6666666666666661</v>
      </c>
      <c r="F72" s="79">
        <v>0.66666666666666674</v>
      </c>
      <c r="G72" s="79">
        <v>49.333333333333336</v>
      </c>
      <c r="H72" s="61">
        <f t="shared" si="25"/>
        <v>234</v>
      </c>
      <c r="I72" s="79">
        <v>0</v>
      </c>
      <c r="J72" s="79">
        <v>0</v>
      </c>
      <c r="K72" s="79">
        <v>0</v>
      </c>
      <c r="L72" s="79">
        <v>1</v>
      </c>
      <c r="M72" s="79">
        <v>20</v>
      </c>
      <c r="N72" s="79">
        <v>65</v>
      </c>
      <c r="O72" s="79">
        <v>14.000000000000002</v>
      </c>
      <c r="P72" s="158">
        <v>1</v>
      </c>
      <c r="Q72" s="194">
        <f t="shared" ref="Q72:Q139" si="26">E72*4+F72*9+G72*4</f>
        <v>234</v>
      </c>
    </row>
    <row r="73" spans="1:17" ht="22.9" customHeight="1">
      <c r="A73" s="103">
        <v>3</v>
      </c>
      <c r="B73" s="95" t="s">
        <v>150</v>
      </c>
      <c r="C73" s="69" t="s">
        <v>21</v>
      </c>
      <c r="D73" s="60">
        <v>50</v>
      </c>
      <c r="E73" s="79">
        <v>6.5</v>
      </c>
      <c r="F73" s="80">
        <v>1.25</v>
      </c>
      <c r="G73" s="79">
        <v>39.5</v>
      </c>
      <c r="H73" s="61">
        <f t="shared" si="25"/>
        <v>195.25</v>
      </c>
      <c r="I73" s="80">
        <v>0.25</v>
      </c>
      <c r="J73" s="80">
        <v>0</v>
      </c>
      <c r="K73" s="80">
        <v>0</v>
      </c>
      <c r="L73" s="80">
        <v>1.5</v>
      </c>
      <c r="M73" s="80">
        <v>28.999999999999996</v>
      </c>
      <c r="N73" s="80">
        <v>150</v>
      </c>
      <c r="O73" s="80">
        <v>47</v>
      </c>
      <c r="P73" s="159">
        <v>4</v>
      </c>
      <c r="Q73" s="194">
        <f t="shared" si="26"/>
        <v>195.25</v>
      </c>
    </row>
    <row r="74" spans="1:17" ht="18.75">
      <c r="A74" s="103">
        <v>3</v>
      </c>
      <c r="B74" s="95"/>
      <c r="C74" s="95" t="s">
        <v>18</v>
      </c>
      <c r="D74" s="60">
        <f>SUM(D65:D66,D69:D73)</f>
        <v>920</v>
      </c>
      <c r="E74" s="97">
        <f t="shared" ref="E74:P74" si="27">SUM(E69:E73)</f>
        <v>28.486666666666665</v>
      </c>
      <c r="F74" s="97">
        <f t="shared" si="27"/>
        <v>9.2966666666666669</v>
      </c>
      <c r="G74" s="97">
        <f t="shared" si="27"/>
        <v>114.70333333333333</v>
      </c>
      <c r="H74" s="97">
        <f t="shared" si="27"/>
        <v>656.43000000000006</v>
      </c>
      <c r="I74" s="97">
        <f t="shared" si="27"/>
        <v>0.35</v>
      </c>
      <c r="J74" s="97">
        <f t="shared" si="27"/>
        <v>12.659999999999998</v>
      </c>
      <c r="K74" s="97">
        <f t="shared" si="27"/>
        <v>1.1200000000000001</v>
      </c>
      <c r="L74" s="97">
        <f t="shared" si="27"/>
        <v>4.5600000000000005</v>
      </c>
      <c r="M74" s="97">
        <f t="shared" si="27"/>
        <v>128.62</v>
      </c>
      <c r="N74" s="97">
        <f t="shared" si="27"/>
        <v>332.03</v>
      </c>
      <c r="O74" s="97">
        <f t="shared" si="27"/>
        <v>306.97000000000003</v>
      </c>
      <c r="P74" s="154">
        <f t="shared" si="27"/>
        <v>7.1379999999999999</v>
      </c>
      <c r="Q74" s="194">
        <f t="shared" si="26"/>
        <v>656.43000000000006</v>
      </c>
    </row>
    <row r="75" spans="1:17" ht="18.75">
      <c r="A75" s="103">
        <v>3</v>
      </c>
      <c r="B75" s="247" t="s">
        <v>22</v>
      </c>
      <c r="C75" s="247"/>
      <c r="D75" s="247"/>
      <c r="E75" s="247"/>
      <c r="F75" s="247"/>
      <c r="G75" s="247"/>
      <c r="H75" s="247"/>
      <c r="I75" s="247"/>
      <c r="J75" s="247"/>
      <c r="K75" s="247"/>
      <c r="L75" s="247"/>
      <c r="M75" s="247"/>
      <c r="N75" s="247"/>
      <c r="O75" s="247"/>
      <c r="P75" s="248"/>
      <c r="Q75" s="194">
        <f t="shared" si="26"/>
        <v>0</v>
      </c>
    </row>
    <row r="76" spans="1:17" ht="16.5" customHeight="1">
      <c r="A76" s="103">
        <v>3</v>
      </c>
      <c r="B76" s="95" t="s">
        <v>225</v>
      </c>
      <c r="C76" s="59" t="s">
        <v>287</v>
      </c>
      <c r="D76" s="123">
        <v>100</v>
      </c>
      <c r="E76" s="61">
        <v>4</v>
      </c>
      <c r="F76" s="216">
        <v>4.7</v>
      </c>
      <c r="G76" s="61">
        <v>27.8</v>
      </c>
      <c r="H76" s="61">
        <f>Q76</f>
        <v>169.5</v>
      </c>
      <c r="I76" s="61">
        <v>0.1</v>
      </c>
      <c r="J76" s="61">
        <v>0.1</v>
      </c>
      <c r="K76" s="61">
        <v>0</v>
      </c>
      <c r="L76" s="61">
        <v>1.3</v>
      </c>
      <c r="M76" s="61">
        <v>75.8</v>
      </c>
      <c r="N76" s="61">
        <v>140</v>
      </c>
      <c r="O76" s="61">
        <v>34.6</v>
      </c>
      <c r="P76" s="143">
        <v>1.5</v>
      </c>
      <c r="Q76" s="194">
        <f t="shared" si="26"/>
        <v>169.5</v>
      </c>
    </row>
    <row r="77" spans="1:17" ht="18.75">
      <c r="A77" s="103">
        <v>3</v>
      </c>
      <c r="B77" s="95" t="s">
        <v>147</v>
      </c>
      <c r="C77" s="57" t="s">
        <v>224</v>
      </c>
      <c r="D77" s="123">
        <v>200</v>
      </c>
      <c r="E77" s="62">
        <v>5.8</v>
      </c>
      <c r="F77" s="62">
        <v>5</v>
      </c>
      <c r="G77" s="62">
        <v>8</v>
      </c>
      <c r="H77" s="61">
        <f>Q77</f>
        <v>100.2</v>
      </c>
      <c r="I77" s="62">
        <v>0.04</v>
      </c>
      <c r="J77" s="62">
        <v>0</v>
      </c>
      <c r="K77" s="62">
        <v>0.04</v>
      </c>
      <c r="L77" s="62">
        <v>0.6</v>
      </c>
      <c r="M77" s="62">
        <v>4.8</v>
      </c>
      <c r="N77" s="62">
        <v>13.2</v>
      </c>
      <c r="O77" s="62">
        <v>1.8</v>
      </c>
      <c r="P77" s="143">
        <v>0.18</v>
      </c>
      <c r="Q77" s="194">
        <f t="shared" si="26"/>
        <v>100.2</v>
      </c>
    </row>
    <row r="78" spans="1:17" ht="18.75">
      <c r="A78" s="103">
        <v>2</v>
      </c>
      <c r="B78" s="95"/>
      <c r="C78" s="95" t="s">
        <v>18</v>
      </c>
      <c r="D78" s="60">
        <f>SUM(D76:D77)</f>
        <v>300</v>
      </c>
      <c r="E78" s="97">
        <f t="shared" ref="E78:P78" si="28">SUM(E76:E77)</f>
        <v>9.8000000000000007</v>
      </c>
      <c r="F78" s="97">
        <f t="shared" si="28"/>
        <v>9.6999999999999993</v>
      </c>
      <c r="G78" s="97">
        <f t="shared" si="28"/>
        <v>35.799999999999997</v>
      </c>
      <c r="H78" s="97">
        <f t="shared" si="28"/>
        <v>269.7</v>
      </c>
      <c r="I78" s="97">
        <f t="shared" si="28"/>
        <v>0.14000000000000001</v>
      </c>
      <c r="J78" s="97">
        <f t="shared" si="28"/>
        <v>0.1</v>
      </c>
      <c r="K78" s="97">
        <f t="shared" si="28"/>
        <v>0.04</v>
      </c>
      <c r="L78" s="97">
        <f t="shared" si="28"/>
        <v>1.9</v>
      </c>
      <c r="M78" s="97">
        <f t="shared" si="28"/>
        <v>80.599999999999994</v>
      </c>
      <c r="N78" s="97">
        <f t="shared" si="28"/>
        <v>153.19999999999999</v>
      </c>
      <c r="O78" s="97">
        <f t="shared" si="28"/>
        <v>36.4</v>
      </c>
      <c r="P78" s="154">
        <f t="shared" si="28"/>
        <v>1.68</v>
      </c>
      <c r="Q78" s="194">
        <f t="shared" si="26"/>
        <v>269.7</v>
      </c>
    </row>
    <row r="79" spans="1:17" ht="18.75">
      <c r="A79" s="103">
        <v>3</v>
      </c>
      <c r="B79" s="96"/>
      <c r="C79" s="95" t="s">
        <v>27</v>
      </c>
      <c r="D79" s="60">
        <f>D78+D74+D63</f>
        <v>2035</v>
      </c>
      <c r="E79" s="97">
        <f t="shared" ref="E79:P79" si="29">E63+E74+E78</f>
        <v>78.556666666666658</v>
      </c>
      <c r="F79" s="96">
        <f t="shared" si="29"/>
        <v>134.05666666666667</v>
      </c>
      <c r="G79" s="97">
        <f t="shared" si="29"/>
        <v>256.6033333333333</v>
      </c>
      <c r="H79" s="97">
        <f t="shared" si="29"/>
        <v>2547.15</v>
      </c>
      <c r="I79" s="96">
        <f t="shared" si="29"/>
        <v>0.90804878048780491</v>
      </c>
      <c r="J79" s="96">
        <f t="shared" si="29"/>
        <v>29.788780487804878</v>
      </c>
      <c r="K79" s="96">
        <f t="shared" si="29"/>
        <v>1.8692682926829269</v>
      </c>
      <c r="L79" s="96">
        <f t="shared" si="29"/>
        <v>8.7870731707317074</v>
      </c>
      <c r="M79" s="96">
        <f t="shared" si="29"/>
        <v>1315.5687804878048</v>
      </c>
      <c r="N79" s="96">
        <f t="shared" si="29"/>
        <v>1380.2324390243903</v>
      </c>
      <c r="O79" s="96">
        <f t="shared" si="29"/>
        <v>481.14804878048778</v>
      </c>
      <c r="P79" s="141">
        <f t="shared" si="29"/>
        <v>16.483365853658537</v>
      </c>
      <c r="Q79" s="194">
        <f t="shared" si="26"/>
        <v>2547.1499999999996</v>
      </c>
    </row>
    <row r="80" spans="1:17" ht="18.75">
      <c r="A80" s="103">
        <v>3</v>
      </c>
      <c r="B80" s="247" t="s">
        <v>17</v>
      </c>
      <c r="C80" s="247"/>
      <c r="D80" s="247"/>
      <c r="E80" s="247"/>
      <c r="F80" s="247"/>
      <c r="G80" s="247"/>
      <c r="H80" s="247"/>
      <c r="I80" s="247"/>
      <c r="J80" s="247"/>
      <c r="K80" s="247"/>
      <c r="L80" s="247"/>
      <c r="M80" s="247"/>
      <c r="N80" s="247"/>
      <c r="O80" s="247"/>
      <c r="P80" s="248"/>
      <c r="Q80" s="194">
        <f t="shared" si="26"/>
        <v>0</v>
      </c>
    </row>
    <row r="81" spans="1:17" ht="37.5">
      <c r="A81" s="103">
        <v>4</v>
      </c>
      <c r="B81" s="96" t="s">
        <v>227</v>
      </c>
      <c r="C81" s="57" t="s">
        <v>301</v>
      </c>
      <c r="D81" s="123">
        <v>180</v>
      </c>
      <c r="E81" s="61">
        <v>11.2</v>
      </c>
      <c r="F81" s="61">
        <f t="shared" ref="F81:P81" si="30">(F82*1.5+F83*0.1)/1.6</f>
        <v>10.499999999999998</v>
      </c>
      <c r="G81" s="61">
        <f t="shared" si="30"/>
        <v>12.599999999999998</v>
      </c>
      <c r="H81" s="61">
        <f>Q81</f>
        <v>189.7</v>
      </c>
      <c r="I81" s="61">
        <f t="shared" si="30"/>
        <v>3.9375E-2</v>
      </c>
      <c r="J81" s="61">
        <f t="shared" si="30"/>
        <v>0.19375000000000003</v>
      </c>
      <c r="K81" s="61">
        <f t="shared" si="30"/>
        <v>6.3156249999999998</v>
      </c>
      <c r="L81" s="61">
        <f t="shared" si="30"/>
        <v>0.52812499999999996</v>
      </c>
      <c r="M81" s="61">
        <f t="shared" si="30"/>
        <v>87.774999999999977</v>
      </c>
      <c r="N81" s="61">
        <f t="shared" si="30"/>
        <v>130.1875</v>
      </c>
      <c r="O81" s="61">
        <f t="shared" si="30"/>
        <v>15.562499999999998</v>
      </c>
      <c r="P81" s="142">
        <f t="shared" si="30"/>
        <v>0.38750000000000007</v>
      </c>
      <c r="Q81" s="194">
        <f t="shared" si="26"/>
        <v>189.7</v>
      </c>
    </row>
    <row r="82" spans="1:17" ht="18.75">
      <c r="A82" s="103"/>
      <c r="B82" s="96"/>
      <c r="C82" s="57" t="s">
        <v>226</v>
      </c>
      <c r="D82" s="123">
        <v>200</v>
      </c>
      <c r="E82" s="61">
        <v>14.2</v>
      </c>
      <c r="F82" s="61">
        <v>10.199999999999999</v>
      </c>
      <c r="G82" s="61">
        <v>13.2</v>
      </c>
      <c r="H82" s="61">
        <f t="shared" ref="H82:H85" si="31">Q82</f>
        <v>201.39999999999998</v>
      </c>
      <c r="I82" s="61">
        <v>0.04</v>
      </c>
      <c r="J82" s="61">
        <v>0.18</v>
      </c>
      <c r="K82" s="61">
        <v>7.0000000000000007E-2</v>
      </c>
      <c r="L82" s="61">
        <v>0.35</v>
      </c>
      <c r="M82" s="61">
        <v>93.6</v>
      </c>
      <c r="N82" s="61">
        <v>134.80000000000001</v>
      </c>
      <c r="O82" s="61">
        <v>16</v>
      </c>
      <c r="P82" s="143">
        <v>0.4</v>
      </c>
      <c r="Q82" s="194">
        <f t="shared" si="26"/>
        <v>201.39999999999998</v>
      </c>
    </row>
    <row r="83" spans="1:17" ht="18.75">
      <c r="A83" s="103"/>
      <c r="B83" s="96"/>
      <c r="C83" s="57" t="s">
        <v>222</v>
      </c>
      <c r="D83" s="123">
        <v>10</v>
      </c>
      <c r="E83" s="62">
        <v>2.6</v>
      </c>
      <c r="F83" s="62">
        <v>15</v>
      </c>
      <c r="G83" s="62">
        <v>3.6</v>
      </c>
      <c r="H83" s="61">
        <f t="shared" si="31"/>
        <v>159.80000000000001</v>
      </c>
      <c r="I83" s="62">
        <v>0.03</v>
      </c>
      <c r="J83" s="62">
        <v>0.4</v>
      </c>
      <c r="K83" s="62">
        <v>100</v>
      </c>
      <c r="L83" s="62">
        <v>3.2</v>
      </c>
      <c r="M83" s="62">
        <v>0.4</v>
      </c>
      <c r="N83" s="62">
        <v>61</v>
      </c>
      <c r="O83" s="62">
        <v>9</v>
      </c>
      <c r="P83" s="143">
        <v>0.2</v>
      </c>
      <c r="Q83" s="194">
        <f t="shared" si="26"/>
        <v>159.80000000000001</v>
      </c>
    </row>
    <row r="84" spans="1:17" ht="21" customHeight="1">
      <c r="A84" s="103">
        <v>3</v>
      </c>
      <c r="B84" s="96"/>
      <c r="C84" s="81" t="s">
        <v>193</v>
      </c>
      <c r="D84" s="123">
        <v>55</v>
      </c>
      <c r="E84" s="61">
        <v>3.3</v>
      </c>
      <c r="F84" s="62">
        <v>3.9</v>
      </c>
      <c r="G84" s="61">
        <v>20.94</v>
      </c>
      <c r="H84" s="61">
        <f t="shared" si="31"/>
        <v>132.06</v>
      </c>
      <c r="I84" s="62">
        <v>0.02</v>
      </c>
      <c r="J84" s="62">
        <v>0.05</v>
      </c>
      <c r="K84" s="62">
        <v>0.06</v>
      </c>
      <c r="L84" s="62">
        <v>2.52</v>
      </c>
      <c r="M84" s="62">
        <v>18.420000000000002</v>
      </c>
      <c r="N84" s="62">
        <v>34.42</v>
      </c>
      <c r="O84" s="62">
        <v>3.84</v>
      </c>
      <c r="P84" s="143">
        <v>0.42</v>
      </c>
      <c r="Q84" s="194">
        <f t="shared" si="26"/>
        <v>132.06</v>
      </c>
    </row>
    <row r="85" spans="1:17" ht="18.75">
      <c r="A85" s="103">
        <v>4</v>
      </c>
      <c r="B85" s="95" t="s">
        <v>192</v>
      </c>
      <c r="C85" s="57" t="s">
        <v>26</v>
      </c>
      <c r="D85" s="123">
        <v>200</v>
      </c>
      <c r="E85" s="61">
        <v>0.04</v>
      </c>
      <c r="F85" s="62">
        <v>0.01</v>
      </c>
      <c r="G85" s="61">
        <v>7.5</v>
      </c>
      <c r="H85" s="61">
        <f t="shared" si="31"/>
        <v>30.25</v>
      </c>
      <c r="I85" s="62">
        <v>0</v>
      </c>
      <c r="J85" s="62">
        <v>0</v>
      </c>
      <c r="K85" s="62">
        <v>0.02</v>
      </c>
      <c r="L85" s="62">
        <v>0</v>
      </c>
      <c r="M85" s="62">
        <v>5.55</v>
      </c>
      <c r="N85" s="62">
        <v>0.7</v>
      </c>
      <c r="O85" s="62">
        <v>1.4</v>
      </c>
      <c r="P85" s="143">
        <v>0.14000000000000001</v>
      </c>
      <c r="Q85" s="194">
        <f t="shared" si="26"/>
        <v>30.25</v>
      </c>
    </row>
    <row r="86" spans="1:17" ht="18.75">
      <c r="A86" s="103">
        <v>4</v>
      </c>
      <c r="B86" s="95"/>
      <c r="C86" s="95" t="s">
        <v>18</v>
      </c>
      <c r="D86" s="123">
        <f>SUM(D81:D85)</f>
        <v>645</v>
      </c>
      <c r="E86" s="97">
        <f t="shared" ref="E86:P86" si="32">SUM(E84:E85)+E81</f>
        <v>14.54</v>
      </c>
      <c r="F86" s="97">
        <f t="shared" si="32"/>
        <v>14.409999999999998</v>
      </c>
      <c r="G86" s="97">
        <f t="shared" si="32"/>
        <v>41.04</v>
      </c>
      <c r="H86" s="97">
        <f t="shared" si="32"/>
        <v>352.01</v>
      </c>
      <c r="I86" s="97">
        <f t="shared" si="32"/>
        <v>5.9374999999999997E-2</v>
      </c>
      <c r="J86" s="97">
        <f t="shared" si="32"/>
        <v>0.24375000000000002</v>
      </c>
      <c r="K86" s="97">
        <f t="shared" si="32"/>
        <v>6.3956249999999999</v>
      </c>
      <c r="L86" s="97">
        <f t="shared" si="32"/>
        <v>3.0481249999999998</v>
      </c>
      <c r="M86" s="97">
        <f t="shared" si="32"/>
        <v>111.74499999999998</v>
      </c>
      <c r="N86" s="97">
        <f t="shared" si="32"/>
        <v>165.3075</v>
      </c>
      <c r="O86" s="97">
        <f t="shared" si="32"/>
        <v>20.802499999999998</v>
      </c>
      <c r="P86" s="154">
        <f t="shared" si="32"/>
        <v>0.94750000000000012</v>
      </c>
      <c r="Q86" s="194">
        <f t="shared" si="26"/>
        <v>352.01</v>
      </c>
    </row>
    <row r="87" spans="1:17" ht="18.75">
      <c r="A87" s="103">
        <v>4</v>
      </c>
      <c r="B87" s="247" t="s">
        <v>19</v>
      </c>
      <c r="C87" s="247"/>
      <c r="D87" s="247"/>
      <c r="E87" s="247"/>
      <c r="F87" s="247"/>
      <c r="G87" s="247"/>
      <c r="H87" s="247"/>
      <c r="I87" s="247"/>
      <c r="J87" s="247"/>
      <c r="K87" s="247"/>
      <c r="L87" s="247"/>
      <c r="M87" s="247"/>
      <c r="N87" s="247"/>
      <c r="O87" s="247"/>
      <c r="P87" s="248"/>
      <c r="Q87" s="194">
        <f t="shared" si="26"/>
        <v>0</v>
      </c>
    </row>
    <row r="88" spans="1:17" ht="18.600000000000001" customHeight="1">
      <c r="A88" s="103">
        <v>4</v>
      </c>
      <c r="B88" s="106" t="s">
        <v>148</v>
      </c>
      <c r="C88" s="67" t="s">
        <v>210</v>
      </c>
      <c r="D88" s="68">
        <v>100</v>
      </c>
      <c r="E88" s="61">
        <v>0.8</v>
      </c>
      <c r="F88" s="61">
        <v>0.1</v>
      </c>
      <c r="G88" s="61">
        <v>2.5</v>
      </c>
      <c r="H88" s="61">
        <f>Q88</f>
        <v>14.100000000000001</v>
      </c>
      <c r="I88" s="61">
        <v>0</v>
      </c>
      <c r="J88" s="61">
        <v>10</v>
      </c>
      <c r="K88" s="61">
        <v>0</v>
      </c>
      <c r="L88" s="61">
        <v>0</v>
      </c>
      <c r="M88" s="61">
        <v>23.3</v>
      </c>
      <c r="N88" s="61">
        <v>41.6</v>
      </c>
      <c r="O88" s="61">
        <v>14</v>
      </c>
      <c r="P88" s="142">
        <v>0.6</v>
      </c>
      <c r="Q88" s="194">
        <f t="shared" si="26"/>
        <v>14.100000000000001</v>
      </c>
    </row>
    <row r="89" spans="1:17" ht="21.6" customHeight="1">
      <c r="A89" s="103">
        <v>4</v>
      </c>
      <c r="B89" s="106" t="s">
        <v>159</v>
      </c>
      <c r="C89" s="67" t="s">
        <v>228</v>
      </c>
      <c r="D89" s="68">
        <v>260</v>
      </c>
      <c r="E89" s="93">
        <v>1.1000000000000001</v>
      </c>
      <c r="F89" s="93">
        <v>1.1000000000000001</v>
      </c>
      <c r="G89" s="93">
        <v>7</v>
      </c>
      <c r="H89" s="61">
        <f t="shared" ref="H89:H95" si="33">Q89</f>
        <v>42.3</v>
      </c>
      <c r="I89" s="93">
        <v>0</v>
      </c>
      <c r="J89" s="93">
        <v>0</v>
      </c>
      <c r="K89" s="93">
        <v>3.3</v>
      </c>
      <c r="L89" s="93">
        <v>0.5</v>
      </c>
      <c r="M89" s="93">
        <v>11.7</v>
      </c>
      <c r="N89" s="93">
        <v>14.2</v>
      </c>
      <c r="O89" s="93">
        <v>27</v>
      </c>
      <c r="P89" s="149">
        <v>0.5</v>
      </c>
      <c r="Q89" s="194">
        <f t="shared" si="26"/>
        <v>42.3</v>
      </c>
    </row>
    <row r="90" spans="1:17" ht="28.9" customHeight="1">
      <c r="A90" s="103">
        <v>4</v>
      </c>
      <c r="B90" s="106" t="s">
        <v>230</v>
      </c>
      <c r="C90" s="81" t="s">
        <v>229</v>
      </c>
      <c r="D90" s="68">
        <v>100</v>
      </c>
      <c r="E90" s="216">
        <v>12</v>
      </c>
      <c r="F90" s="216">
        <v>19.2</v>
      </c>
      <c r="G90" s="61">
        <v>4.8</v>
      </c>
      <c r="H90" s="61">
        <f t="shared" si="33"/>
        <v>239.99999999999997</v>
      </c>
      <c r="I90" s="62">
        <v>0.1</v>
      </c>
      <c r="J90" s="62">
        <v>0.1</v>
      </c>
      <c r="K90" s="62">
        <v>0.4</v>
      </c>
      <c r="L90" s="62">
        <v>2.1</v>
      </c>
      <c r="M90" s="62">
        <v>24.4</v>
      </c>
      <c r="N90" s="62">
        <v>18.899999999999999</v>
      </c>
      <c r="O90" s="62">
        <v>163.4</v>
      </c>
      <c r="P90" s="143">
        <v>2</v>
      </c>
      <c r="Q90" s="194">
        <f t="shared" si="26"/>
        <v>239.99999999999997</v>
      </c>
    </row>
    <row r="91" spans="1:17" ht="21" customHeight="1">
      <c r="A91" s="103"/>
      <c r="B91" s="106" t="s">
        <v>164</v>
      </c>
      <c r="C91" s="81" t="s">
        <v>133</v>
      </c>
      <c r="D91" s="68">
        <v>180</v>
      </c>
      <c r="E91" s="89">
        <v>2.4</v>
      </c>
      <c r="F91" s="89">
        <v>2.68</v>
      </c>
      <c r="G91" s="226">
        <v>20.98</v>
      </c>
      <c r="H91" s="61">
        <f t="shared" si="33"/>
        <v>117.64</v>
      </c>
      <c r="I91" s="89">
        <v>0.02</v>
      </c>
      <c r="J91" s="89">
        <v>0</v>
      </c>
      <c r="K91" s="89">
        <v>12.9</v>
      </c>
      <c r="L91" s="89">
        <v>0.17</v>
      </c>
      <c r="M91" s="89">
        <v>3.94</v>
      </c>
      <c r="N91" s="89">
        <v>51.87</v>
      </c>
      <c r="O91" s="89">
        <v>16.97</v>
      </c>
      <c r="P91" s="147">
        <v>0.35</v>
      </c>
      <c r="Q91" s="194">
        <f t="shared" si="26"/>
        <v>117.64</v>
      </c>
    </row>
    <row r="92" spans="1:17" ht="28.9" customHeight="1">
      <c r="A92" s="103">
        <v>4</v>
      </c>
      <c r="B92" s="106" t="s">
        <v>154</v>
      </c>
      <c r="C92" s="81" t="s">
        <v>56</v>
      </c>
      <c r="D92" s="68">
        <v>200</v>
      </c>
      <c r="E92" s="62">
        <v>0.33</v>
      </c>
      <c r="F92" s="62">
        <v>0.05</v>
      </c>
      <c r="G92" s="62">
        <v>14.01</v>
      </c>
      <c r="H92" s="61">
        <f t="shared" si="33"/>
        <v>57.81</v>
      </c>
      <c r="I92" s="62">
        <v>0.01</v>
      </c>
      <c r="J92" s="62">
        <v>0.34</v>
      </c>
      <c r="K92" s="62">
        <v>0</v>
      </c>
      <c r="L92" s="62">
        <v>0.25</v>
      </c>
      <c r="M92" s="62">
        <v>16.18</v>
      </c>
      <c r="N92" s="62">
        <v>11.72</v>
      </c>
      <c r="O92" s="62">
        <v>8.73</v>
      </c>
      <c r="P92" s="143">
        <v>0.34399999999999997</v>
      </c>
      <c r="Q92" s="194">
        <f t="shared" si="26"/>
        <v>57.81</v>
      </c>
    </row>
    <row r="93" spans="1:17" ht="21" customHeight="1">
      <c r="A93" s="103">
        <v>4</v>
      </c>
      <c r="B93" s="65" t="s">
        <v>57</v>
      </c>
      <c r="C93" s="81" t="s">
        <v>20</v>
      </c>
      <c r="D93" s="68">
        <v>40</v>
      </c>
      <c r="E93" s="79">
        <v>7.6666666666666661</v>
      </c>
      <c r="F93" s="79">
        <v>0.66666666666666674</v>
      </c>
      <c r="G93" s="79">
        <v>49.333333333333336</v>
      </c>
      <c r="H93" s="61">
        <f t="shared" si="33"/>
        <v>234</v>
      </c>
      <c r="I93" s="79">
        <v>0</v>
      </c>
      <c r="J93" s="79">
        <v>0</v>
      </c>
      <c r="K93" s="79">
        <v>0</v>
      </c>
      <c r="L93" s="79">
        <v>1</v>
      </c>
      <c r="M93" s="79">
        <v>20</v>
      </c>
      <c r="N93" s="79">
        <v>65</v>
      </c>
      <c r="O93" s="79">
        <v>14.000000000000002</v>
      </c>
      <c r="P93" s="158">
        <v>1</v>
      </c>
      <c r="Q93" s="194">
        <f t="shared" si="26"/>
        <v>234</v>
      </c>
    </row>
    <row r="94" spans="1:17" ht="22.9" customHeight="1">
      <c r="A94" s="103">
        <v>4</v>
      </c>
      <c r="B94" s="95" t="s">
        <v>150</v>
      </c>
      <c r="C94" s="69" t="s">
        <v>21</v>
      </c>
      <c r="D94" s="60">
        <v>50</v>
      </c>
      <c r="E94" s="79">
        <v>6.5</v>
      </c>
      <c r="F94" s="80">
        <v>1.25</v>
      </c>
      <c r="G94" s="79">
        <v>39.5</v>
      </c>
      <c r="H94" s="61">
        <f t="shared" si="33"/>
        <v>195.25</v>
      </c>
      <c r="I94" s="80">
        <v>0.25</v>
      </c>
      <c r="J94" s="80">
        <v>0</v>
      </c>
      <c r="K94" s="80">
        <v>0</v>
      </c>
      <c r="L94" s="80">
        <v>1.5</v>
      </c>
      <c r="M94" s="80">
        <v>28.999999999999996</v>
      </c>
      <c r="N94" s="80">
        <v>150</v>
      </c>
      <c r="O94" s="80">
        <v>47</v>
      </c>
      <c r="P94" s="159">
        <v>4</v>
      </c>
      <c r="Q94" s="194">
        <f t="shared" si="26"/>
        <v>195.25</v>
      </c>
    </row>
    <row r="95" spans="1:17" ht="20.45" customHeight="1">
      <c r="A95" s="103">
        <v>3</v>
      </c>
      <c r="B95" s="76"/>
      <c r="C95" s="57" t="s">
        <v>216</v>
      </c>
      <c r="D95" s="228">
        <v>150</v>
      </c>
      <c r="E95" s="63">
        <v>0.4</v>
      </c>
      <c r="F95" s="70">
        <v>0.4</v>
      </c>
      <c r="G95" s="63">
        <v>9.8000000000000007</v>
      </c>
      <c r="H95" s="61">
        <f t="shared" si="33"/>
        <v>44.400000000000006</v>
      </c>
      <c r="I95" s="70">
        <v>0.03</v>
      </c>
      <c r="J95" s="70">
        <v>10</v>
      </c>
      <c r="K95" s="70">
        <v>0</v>
      </c>
      <c r="L95" s="70">
        <v>0.2</v>
      </c>
      <c r="M95" s="70">
        <v>16</v>
      </c>
      <c r="N95" s="70">
        <v>11</v>
      </c>
      <c r="O95" s="70">
        <v>9</v>
      </c>
      <c r="P95" s="153">
        <v>2.2000000000000002</v>
      </c>
      <c r="Q95" s="194">
        <f t="shared" si="26"/>
        <v>44.400000000000006</v>
      </c>
    </row>
    <row r="96" spans="1:17" ht="18.75">
      <c r="A96" s="103">
        <v>4</v>
      </c>
      <c r="B96" s="95"/>
      <c r="C96" s="95" t="s">
        <v>18</v>
      </c>
      <c r="D96" s="60">
        <f>SUM(D88:D89,D90:D94)</f>
        <v>930</v>
      </c>
      <c r="E96" s="97">
        <f>SUM(E88:E95)</f>
        <v>31.196666666666665</v>
      </c>
      <c r="F96" s="229">
        <f t="shared" ref="F96:P96" si="34">SUM(F88:F95)</f>
        <v>25.446666666666665</v>
      </c>
      <c r="G96" s="229">
        <f t="shared" si="34"/>
        <v>147.92333333333335</v>
      </c>
      <c r="H96" s="229">
        <f t="shared" si="34"/>
        <v>945.49999999999989</v>
      </c>
      <c r="I96" s="229">
        <f t="shared" si="34"/>
        <v>0.41000000000000003</v>
      </c>
      <c r="J96" s="229">
        <f t="shared" si="34"/>
        <v>20.439999999999998</v>
      </c>
      <c r="K96" s="229">
        <f t="shared" si="34"/>
        <v>16.600000000000001</v>
      </c>
      <c r="L96" s="229">
        <f t="shared" si="34"/>
        <v>5.72</v>
      </c>
      <c r="M96" s="229">
        <f t="shared" si="34"/>
        <v>144.51999999999998</v>
      </c>
      <c r="N96" s="229">
        <f t="shared" si="34"/>
        <v>364.28999999999996</v>
      </c>
      <c r="O96" s="229">
        <f t="shared" si="34"/>
        <v>300.10000000000002</v>
      </c>
      <c r="P96" s="229">
        <f t="shared" si="34"/>
        <v>10.994</v>
      </c>
      <c r="Q96" s="194">
        <f t="shared" si="26"/>
        <v>945.5</v>
      </c>
    </row>
    <row r="97" spans="1:17" ht="18.75">
      <c r="A97" s="103">
        <v>4</v>
      </c>
      <c r="B97" s="247" t="s">
        <v>22</v>
      </c>
      <c r="C97" s="247"/>
      <c r="D97" s="247"/>
      <c r="E97" s="247"/>
      <c r="F97" s="247"/>
      <c r="G97" s="247"/>
      <c r="H97" s="247"/>
      <c r="I97" s="247"/>
      <c r="J97" s="247"/>
      <c r="K97" s="247"/>
      <c r="L97" s="247"/>
      <c r="M97" s="247"/>
      <c r="N97" s="247"/>
      <c r="O97" s="247"/>
      <c r="P97" s="248"/>
      <c r="Q97" s="194">
        <f t="shared" si="26"/>
        <v>0</v>
      </c>
    </row>
    <row r="98" spans="1:17" ht="25.9" customHeight="1">
      <c r="A98" s="103">
        <v>4</v>
      </c>
      <c r="B98" s="96" t="s">
        <v>162</v>
      </c>
      <c r="C98" s="57" t="s">
        <v>231</v>
      </c>
      <c r="D98" s="219">
        <v>60</v>
      </c>
      <c r="E98" s="79">
        <v>1.7</v>
      </c>
      <c r="F98" s="79">
        <v>3</v>
      </c>
      <c r="G98" s="79">
        <v>6</v>
      </c>
      <c r="H98" s="79">
        <f>Q98</f>
        <v>57.8</v>
      </c>
      <c r="I98" s="79">
        <v>0</v>
      </c>
      <c r="J98" s="79">
        <v>6.2</v>
      </c>
      <c r="K98" s="79">
        <v>0</v>
      </c>
      <c r="L98" s="79">
        <v>2.2000000000000002</v>
      </c>
      <c r="M98" s="79">
        <v>36.4</v>
      </c>
      <c r="N98" s="79">
        <v>36.4</v>
      </c>
      <c r="O98" s="79">
        <v>13.3</v>
      </c>
      <c r="P98" s="79">
        <v>0.7</v>
      </c>
      <c r="Q98" s="194">
        <f t="shared" si="26"/>
        <v>57.8</v>
      </c>
    </row>
    <row r="99" spans="1:17" ht="35.450000000000003" customHeight="1">
      <c r="A99" s="103"/>
      <c r="B99" s="105" t="s">
        <v>188</v>
      </c>
      <c r="C99" s="115" t="s">
        <v>232</v>
      </c>
      <c r="D99" s="219">
        <v>80</v>
      </c>
      <c r="E99" s="220">
        <v>11.8</v>
      </c>
      <c r="F99" s="73">
        <v>10.42</v>
      </c>
      <c r="G99" s="73">
        <v>3.04</v>
      </c>
      <c r="H99" s="79">
        <f t="shared" ref="H99:H101" si="35">Q99</f>
        <v>153.14000000000001</v>
      </c>
      <c r="I99" s="73">
        <v>8.1000000000000003E-2</v>
      </c>
      <c r="J99" s="73">
        <v>0.1</v>
      </c>
      <c r="K99" s="73">
        <v>1.43</v>
      </c>
      <c r="L99" s="73">
        <v>2.74</v>
      </c>
      <c r="M99" s="73">
        <v>47.49</v>
      </c>
      <c r="N99" s="73">
        <v>28.73</v>
      </c>
      <c r="O99" s="73">
        <v>13.07</v>
      </c>
      <c r="P99" s="146">
        <v>1.75</v>
      </c>
      <c r="Q99" s="194">
        <f t="shared" si="26"/>
        <v>153.14000000000001</v>
      </c>
    </row>
    <row r="100" spans="1:17" ht="24.6" customHeight="1">
      <c r="A100" s="103"/>
      <c r="B100" s="65" t="s">
        <v>57</v>
      </c>
      <c r="C100" s="81" t="s">
        <v>20</v>
      </c>
      <c r="D100" s="68">
        <v>40</v>
      </c>
      <c r="E100" s="79">
        <v>7.6666666666666661</v>
      </c>
      <c r="F100" s="79">
        <v>0.66666666666666674</v>
      </c>
      <c r="G100" s="79">
        <v>49.333333333333336</v>
      </c>
      <c r="H100" s="79">
        <f t="shared" si="35"/>
        <v>234</v>
      </c>
      <c r="I100" s="79">
        <v>0</v>
      </c>
      <c r="J100" s="79">
        <v>0</v>
      </c>
      <c r="K100" s="79">
        <v>0</v>
      </c>
      <c r="L100" s="79">
        <v>1</v>
      </c>
      <c r="M100" s="79">
        <v>20</v>
      </c>
      <c r="N100" s="79">
        <v>65</v>
      </c>
      <c r="O100" s="79">
        <v>14.000000000000002</v>
      </c>
      <c r="P100" s="158">
        <v>1</v>
      </c>
      <c r="Q100" s="194">
        <f t="shared" si="26"/>
        <v>234</v>
      </c>
    </row>
    <row r="101" spans="1:17" ht="22.15" customHeight="1">
      <c r="A101" s="103">
        <v>4</v>
      </c>
      <c r="B101" s="95" t="s">
        <v>149</v>
      </c>
      <c r="C101" s="57" t="s">
        <v>55</v>
      </c>
      <c r="D101" s="123">
        <v>200</v>
      </c>
      <c r="E101" s="63">
        <v>0.14000000000000001</v>
      </c>
      <c r="F101" s="63">
        <v>0.05</v>
      </c>
      <c r="G101" s="63">
        <v>14.44</v>
      </c>
      <c r="H101" s="79">
        <f t="shared" si="35"/>
        <v>58.769999999999996</v>
      </c>
      <c r="I101" s="63">
        <v>0</v>
      </c>
      <c r="J101" s="63">
        <v>9.65</v>
      </c>
      <c r="K101" s="63">
        <v>0</v>
      </c>
      <c r="L101" s="63">
        <v>0.08</v>
      </c>
      <c r="M101" s="63">
        <v>6.83</v>
      </c>
      <c r="N101" s="63">
        <v>3.69</v>
      </c>
      <c r="O101" s="63">
        <v>2.89</v>
      </c>
      <c r="P101" s="151">
        <v>0.23400000000000001</v>
      </c>
      <c r="Q101" s="194">
        <f t="shared" si="26"/>
        <v>58.769999999999996</v>
      </c>
    </row>
    <row r="102" spans="1:17" ht="18.75">
      <c r="A102" s="103">
        <v>4</v>
      </c>
      <c r="B102" s="96"/>
      <c r="C102" s="96" t="s">
        <v>18</v>
      </c>
      <c r="D102" s="82">
        <f>SUM(D98:D101)</f>
        <v>380</v>
      </c>
      <c r="E102" s="97">
        <f t="shared" ref="E102:P102" si="36">SUM(E98:E101)</f>
        <v>21.306666666666665</v>
      </c>
      <c r="F102" s="96">
        <f t="shared" si="36"/>
        <v>14.136666666666667</v>
      </c>
      <c r="G102" s="97">
        <f t="shared" si="36"/>
        <v>72.813333333333333</v>
      </c>
      <c r="H102" s="97">
        <f t="shared" si="36"/>
        <v>503.71</v>
      </c>
      <c r="I102" s="96">
        <f t="shared" si="36"/>
        <v>8.1000000000000003E-2</v>
      </c>
      <c r="J102" s="96">
        <f t="shared" si="36"/>
        <v>15.95</v>
      </c>
      <c r="K102" s="96">
        <f t="shared" si="36"/>
        <v>1.43</v>
      </c>
      <c r="L102" s="96">
        <f t="shared" si="36"/>
        <v>6.0200000000000005</v>
      </c>
      <c r="M102" s="96">
        <f t="shared" si="36"/>
        <v>110.72</v>
      </c>
      <c r="N102" s="96">
        <f t="shared" si="36"/>
        <v>133.82</v>
      </c>
      <c r="O102" s="96">
        <f t="shared" si="36"/>
        <v>43.260000000000005</v>
      </c>
      <c r="P102" s="141">
        <f t="shared" si="36"/>
        <v>3.6840000000000002</v>
      </c>
      <c r="Q102" s="194">
        <f t="shared" si="26"/>
        <v>503.71</v>
      </c>
    </row>
    <row r="103" spans="1:17" ht="18.75">
      <c r="A103" s="103">
        <v>4</v>
      </c>
      <c r="B103" s="96"/>
      <c r="C103" s="96" t="s">
        <v>28</v>
      </c>
      <c r="D103" s="82">
        <f>D102+D96+D86</f>
        <v>1955</v>
      </c>
      <c r="E103" s="97">
        <f t="shared" ref="E103:P103" si="37">E86+E96+E102</f>
        <v>67.043333333333322</v>
      </c>
      <c r="F103" s="96">
        <f t="shared" si="37"/>
        <v>53.993333333333325</v>
      </c>
      <c r="G103" s="97">
        <f t="shared" si="37"/>
        <v>261.77666666666664</v>
      </c>
      <c r="H103" s="97">
        <f t="shared" si="37"/>
        <v>1801.2199999999998</v>
      </c>
      <c r="I103" s="96">
        <f t="shared" si="37"/>
        <v>0.55037500000000006</v>
      </c>
      <c r="J103" s="96">
        <f t="shared" si="37"/>
        <v>36.633749999999992</v>
      </c>
      <c r="K103" s="96">
        <f t="shared" si="37"/>
        <v>24.425625</v>
      </c>
      <c r="L103" s="96">
        <f t="shared" si="37"/>
        <v>14.788125000000001</v>
      </c>
      <c r="M103" s="96">
        <f t="shared" si="37"/>
        <v>366.98500000000001</v>
      </c>
      <c r="N103" s="96">
        <f t="shared" si="37"/>
        <v>663.41750000000002</v>
      </c>
      <c r="O103" s="96">
        <f t="shared" si="37"/>
        <v>364.16250000000002</v>
      </c>
      <c r="P103" s="141">
        <f t="shared" si="37"/>
        <v>15.625499999999999</v>
      </c>
      <c r="Q103" s="194">
        <f t="shared" si="26"/>
        <v>1801.2199999999998</v>
      </c>
    </row>
    <row r="104" spans="1:17" ht="18.75">
      <c r="A104" s="103">
        <v>5</v>
      </c>
      <c r="B104" s="247" t="s">
        <v>17</v>
      </c>
      <c r="C104" s="247"/>
      <c r="D104" s="247"/>
      <c r="E104" s="247"/>
      <c r="F104" s="247"/>
      <c r="G104" s="247"/>
      <c r="H104" s="247"/>
      <c r="I104" s="247"/>
      <c r="J104" s="247"/>
      <c r="K104" s="247"/>
      <c r="L104" s="247"/>
      <c r="M104" s="247"/>
      <c r="N104" s="247"/>
      <c r="O104" s="247"/>
      <c r="P104" s="248"/>
      <c r="Q104" s="194">
        <f t="shared" si="26"/>
        <v>0</v>
      </c>
    </row>
    <row r="105" spans="1:17" ht="42.6" customHeight="1">
      <c r="A105" s="103">
        <v>5</v>
      </c>
      <c r="B105" s="106" t="s">
        <v>234</v>
      </c>
      <c r="C105" s="83" t="s">
        <v>233</v>
      </c>
      <c r="D105" s="68">
        <v>250</v>
      </c>
      <c r="E105" s="62">
        <v>5.3</v>
      </c>
      <c r="F105" s="62">
        <v>4.8</v>
      </c>
      <c r="G105" s="62">
        <v>19.100000000000001</v>
      </c>
      <c r="H105" s="61">
        <f>Q105</f>
        <v>140.80000000000001</v>
      </c>
      <c r="I105" s="62">
        <v>0.03</v>
      </c>
      <c r="J105" s="62">
        <v>0.03</v>
      </c>
      <c r="K105" s="62">
        <v>0.03</v>
      </c>
      <c r="L105" s="62">
        <v>0.47</v>
      </c>
      <c r="M105" s="62">
        <v>84</v>
      </c>
      <c r="N105" s="62">
        <v>66.7</v>
      </c>
      <c r="O105" s="62">
        <v>7.3</v>
      </c>
      <c r="P105" s="143">
        <v>0.5</v>
      </c>
      <c r="Q105" s="194">
        <f t="shared" si="26"/>
        <v>140.80000000000001</v>
      </c>
    </row>
    <row r="106" spans="1:17" ht="37.5">
      <c r="A106" s="103">
        <v>5</v>
      </c>
      <c r="B106" s="95"/>
      <c r="C106" s="59" t="s">
        <v>193</v>
      </c>
      <c r="D106" s="60">
        <v>38</v>
      </c>
      <c r="E106" s="61">
        <v>5.5</v>
      </c>
      <c r="F106" s="62">
        <v>6.5</v>
      </c>
      <c r="G106" s="61">
        <v>34.9</v>
      </c>
      <c r="H106" s="61">
        <f>Q106</f>
        <v>220.1</v>
      </c>
      <c r="I106" s="62">
        <v>0.04</v>
      </c>
      <c r="J106" s="62">
        <v>0.09</v>
      </c>
      <c r="K106" s="62">
        <v>0.1</v>
      </c>
      <c r="L106" s="62">
        <v>4.2</v>
      </c>
      <c r="M106" s="62">
        <v>30.7</v>
      </c>
      <c r="N106" s="62">
        <v>57.1</v>
      </c>
      <c r="O106" s="62">
        <v>6.4</v>
      </c>
      <c r="P106" s="143">
        <v>0.7</v>
      </c>
      <c r="Q106" s="194">
        <f t="shared" si="26"/>
        <v>220.1</v>
      </c>
    </row>
    <row r="107" spans="1:17" ht="18.75">
      <c r="A107" s="103">
        <v>5</v>
      </c>
      <c r="B107" s="76"/>
      <c r="C107" s="57" t="s">
        <v>216</v>
      </c>
      <c r="D107" s="123">
        <v>150</v>
      </c>
      <c r="E107" s="63">
        <v>0.4</v>
      </c>
      <c r="F107" s="70">
        <v>0.4</v>
      </c>
      <c r="G107" s="63">
        <v>9.8000000000000007</v>
      </c>
      <c r="H107" s="61">
        <f t="shared" ref="H107:H108" si="38">Q107</f>
        <v>44.400000000000006</v>
      </c>
      <c r="I107" s="70">
        <v>0.03</v>
      </c>
      <c r="J107" s="70">
        <v>10</v>
      </c>
      <c r="K107" s="70">
        <v>0</v>
      </c>
      <c r="L107" s="70">
        <v>0.2</v>
      </c>
      <c r="M107" s="70">
        <v>16</v>
      </c>
      <c r="N107" s="70">
        <v>11</v>
      </c>
      <c r="O107" s="70">
        <v>9</v>
      </c>
      <c r="P107" s="153">
        <v>2.2000000000000002</v>
      </c>
      <c r="Q107" s="194">
        <f t="shared" si="26"/>
        <v>44.400000000000006</v>
      </c>
    </row>
    <row r="108" spans="1:17" ht="18.75">
      <c r="A108" s="103">
        <v>5</v>
      </c>
      <c r="B108" s="95" t="s">
        <v>192</v>
      </c>
      <c r="C108" s="57" t="s">
        <v>26</v>
      </c>
      <c r="D108" s="123">
        <v>200</v>
      </c>
      <c r="E108" s="61">
        <v>0.04</v>
      </c>
      <c r="F108" s="62">
        <v>0.01</v>
      </c>
      <c r="G108" s="61">
        <v>7.5</v>
      </c>
      <c r="H108" s="61">
        <f t="shared" si="38"/>
        <v>30.25</v>
      </c>
      <c r="I108" s="62">
        <v>0</v>
      </c>
      <c r="J108" s="62">
        <v>0</v>
      </c>
      <c r="K108" s="62">
        <v>0.02</v>
      </c>
      <c r="L108" s="62">
        <v>0</v>
      </c>
      <c r="M108" s="62">
        <v>5.55</v>
      </c>
      <c r="N108" s="62">
        <v>0.7</v>
      </c>
      <c r="O108" s="62">
        <v>1.4</v>
      </c>
      <c r="P108" s="143">
        <v>0.14000000000000001</v>
      </c>
      <c r="Q108" s="194">
        <f t="shared" si="26"/>
        <v>30.25</v>
      </c>
    </row>
    <row r="109" spans="1:17" ht="18.75">
      <c r="A109" s="103"/>
      <c r="B109" s="96"/>
      <c r="C109" s="96" t="s">
        <v>18</v>
      </c>
      <c r="D109" s="82">
        <f>SUM(D105:D108)</f>
        <v>638</v>
      </c>
      <c r="E109" s="97">
        <f t="shared" ref="E109:P109" si="39">SUM(E105:E108)</f>
        <v>11.24</v>
      </c>
      <c r="F109" s="97">
        <f t="shared" si="39"/>
        <v>11.71</v>
      </c>
      <c r="G109" s="97">
        <f t="shared" si="39"/>
        <v>71.3</v>
      </c>
      <c r="H109" s="97">
        <f t="shared" si="39"/>
        <v>435.54999999999995</v>
      </c>
      <c r="I109" s="97">
        <f t="shared" si="39"/>
        <v>0.1</v>
      </c>
      <c r="J109" s="97">
        <f t="shared" si="39"/>
        <v>10.119999999999999</v>
      </c>
      <c r="K109" s="97">
        <f t="shared" si="39"/>
        <v>0.15</v>
      </c>
      <c r="L109" s="97">
        <f t="shared" si="39"/>
        <v>4.87</v>
      </c>
      <c r="M109" s="97">
        <f t="shared" si="39"/>
        <v>136.25</v>
      </c>
      <c r="N109" s="97">
        <f t="shared" si="39"/>
        <v>135.5</v>
      </c>
      <c r="O109" s="97">
        <f t="shared" si="39"/>
        <v>24.099999999999998</v>
      </c>
      <c r="P109" s="154">
        <f t="shared" si="39"/>
        <v>3.5400000000000005</v>
      </c>
      <c r="Q109" s="194">
        <f t="shared" si="26"/>
        <v>435.55</v>
      </c>
    </row>
    <row r="110" spans="1:17" ht="18.75">
      <c r="A110" s="103">
        <v>5</v>
      </c>
      <c r="B110" s="247" t="s">
        <v>19</v>
      </c>
      <c r="C110" s="247"/>
      <c r="D110" s="247"/>
      <c r="E110" s="247"/>
      <c r="F110" s="247"/>
      <c r="G110" s="247"/>
      <c r="H110" s="247"/>
      <c r="I110" s="247"/>
      <c r="J110" s="247"/>
      <c r="K110" s="247"/>
      <c r="L110" s="247"/>
      <c r="M110" s="247"/>
      <c r="N110" s="247"/>
      <c r="O110" s="247"/>
      <c r="P110" s="248"/>
      <c r="Q110" s="194">
        <f t="shared" si="26"/>
        <v>0</v>
      </c>
    </row>
    <row r="111" spans="1:17" ht="37.5">
      <c r="A111" s="103">
        <v>5</v>
      </c>
      <c r="B111" s="105" t="s">
        <v>176</v>
      </c>
      <c r="C111" s="116" t="s">
        <v>177</v>
      </c>
      <c r="D111" s="219">
        <v>80</v>
      </c>
      <c r="E111" s="73">
        <v>6.44</v>
      </c>
      <c r="F111" s="73">
        <v>5.59</v>
      </c>
      <c r="G111" s="73">
        <v>37.85</v>
      </c>
      <c r="H111" s="72">
        <f>Q111</f>
        <v>227.47000000000003</v>
      </c>
      <c r="I111" s="73">
        <v>0</v>
      </c>
      <c r="J111" s="73">
        <v>0.35</v>
      </c>
      <c r="K111" s="73">
        <v>0</v>
      </c>
      <c r="L111" s="73">
        <v>3.43</v>
      </c>
      <c r="M111" s="73">
        <v>84.32</v>
      </c>
      <c r="N111" s="73">
        <v>77.22</v>
      </c>
      <c r="O111" s="73">
        <v>297.75</v>
      </c>
      <c r="P111" s="146">
        <v>3.9</v>
      </c>
      <c r="Q111" s="194">
        <f t="shared" si="26"/>
        <v>227.47000000000003</v>
      </c>
    </row>
    <row r="112" spans="1:17" ht="37.5">
      <c r="A112" s="103">
        <v>5</v>
      </c>
      <c r="B112" s="111" t="s">
        <v>237</v>
      </c>
      <c r="C112" s="57" t="s">
        <v>235</v>
      </c>
      <c r="D112" s="68">
        <v>250</v>
      </c>
      <c r="E112" s="61">
        <f>(E113*2.5+E114*0.1)/2.6</f>
        <v>0.70288461538461533</v>
      </c>
      <c r="F112" s="61">
        <f>(F113*2.5+F114*0.1)/2.6</f>
        <v>1.95</v>
      </c>
      <c r="G112" s="61">
        <f t="shared" ref="G112:P112" si="40">(G113*2.5+G114*0.1)/2.6</f>
        <v>4.2182692307692307</v>
      </c>
      <c r="H112" s="72">
        <f t="shared" ref="H112:H119" si="41">Q112</f>
        <v>37.234615384615381</v>
      </c>
      <c r="I112" s="61">
        <f t="shared" si="40"/>
        <v>1.9230769230769231E-4</v>
      </c>
      <c r="J112" s="61">
        <f t="shared" si="40"/>
        <v>1.9230769230769234E-3</v>
      </c>
      <c r="K112" s="61">
        <f t="shared" si="40"/>
        <v>4.5192307692307692</v>
      </c>
      <c r="L112" s="61">
        <f t="shared" si="40"/>
        <v>0.96346153846153837</v>
      </c>
      <c r="M112" s="61">
        <f t="shared" si="40"/>
        <v>19.48076923076923</v>
      </c>
      <c r="N112" s="61">
        <f t="shared" si="40"/>
        <v>10.326923076923077</v>
      </c>
      <c r="O112" s="61">
        <f t="shared" si="40"/>
        <v>21</v>
      </c>
      <c r="P112" s="142">
        <f t="shared" si="40"/>
        <v>0.48076923076923073</v>
      </c>
      <c r="Q112" s="194">
        <f t="shared" si="26"/>
        <v>37.234615384615381</v>
      </c>
    </row>
    <row r="113" spans="1:17" ht="18.75">
      <c r="A113" s="103">
        <v>5</v>
      </c>
      <c r="B113" s="96"/>
      <c r="C113" s="57" t="s">
        <v>236</v>
      </c>
      <c r="D113" s="68">
        <v>250</v>
      </c>
      <c r="E113" s="63">
        <v>0.72099999999999997</v>
      </c>
      <c r="F113" s="63">
        <v>1.968</v>
      </c>
      <c r="G113" s="63">
        <v>4.3730000000000002</v>
      </c>
      <c r="H113" s="63">
        <f t="shared" si="41"/>
        <v>38.088000000000001</v>
      </c>
      <c r="I113" s="63">
        <v>0</v>
      </c>
      <c r="J113" s="63">
        <v>0</v>
      </c>
      <c r="K113" s="63">
        <v>4.3</v>
      </c>
      <c r="L113" s="63">
        <v>1</v>
      </c>
      <c r="M113" s="63">
        <v>19.899999999999999</v>
      </c>
      <c r="N113" s="63">
        <v>10.5</v>
      </c>
      <c r="O113" s="63">
        <v>21.8</v>
      </c>
      <c r="P113" s="63">
        <v>0.5</v>
      </c>
      <c r="Q113" s="194">
        <f t="shared" si="26"/>
        <v>38.088000000000001</v>
      </c>
    </row>
    <row r="114" spans="1:17" ht="18.75">
      <c r="A114" s="103">
        <v>5</v>
      </c>
      <c r="B114" s="96"/>
      <c r="C114" s="57" t="s">
        <v>222</v>
      </c>
      <c r="D114" s="123">
        <v>10</v>
      </c>
      <c r="E114" s="63">
        <v>0.25</v>
      </c>
      <c r="F114" s="63">
        <v>1.5</v>
      </c>
      <c r="G114" s="63">
        <v>0.35</v>
      </c>
      <c r="H114" s="63">
        <f t="shared" si="41"/>
        <v>15.9</v>
      </c>
      <c r="I114" s="63">
        <v>5.0000000000000001E-3</v>
      </c>
      <c r="J114" s="63">
        <v>0.05</v>
      </c>
      <c r="K114" s="63">
        <v>10</v>
      </c>
      <c r="L114" s="63">
        <v>0.05</v>
      </c>
      <c r="M114" s="63">
        <v>9</v>
      </c>
      <c r="N114" s="63">
        <v>6</v>
      </c>
      <c r="O114" s="63">
        <v>1</v>
      </c>
      <c r="P114" s="63">
        <v>0</v>
      </c>
      <c r="Q114" s="194">
        <f t="shared" si="26"/>
        <v>15.9</v>
      </c>
    </row>
    <row r="115" spans="1:17" ht="22.15" customHeight="1">
      <c r="A115" s="103">
        <v>5</v>
      </c>
      <c r="B115" s="112" t="s">
        <v>215</v>
      </c>
      <c r="C115" s="92" t="s">
        <v>214</v>
      </c>
      <c r="D115" s="128">
        <v>80</v>
      </c>
      <c r="E115" s="218">
        <v>5.0999999999999996</v>
      </c>
      <c r="F115" s="218">
        <v>10.9</v>
      </c>
      <c r="G115" s="218">
        <v>7.9</v>
      </c>
      <c r="H115" s="61">
        <f t="shared" si="41"/>
        <v>150.1</v>
      </c>
      <c r="I115" s="113">
        <v>0.04</v>
      </c>
      <c r="J115" s="113">
        <v>0.06</v>
      </c>
      <c r="K115" s="113">
        <v>0.96</v>
      </c>
      <c r="L115" s="113">
        <v>1.05</v>
      </c>
      <c r="M115" s="113">
        <v>23.98</v>
      </c>
      <c r="N115" s="113">
        <v>15.87</v>
      </c>
      <c r="O115" s="113">
        <v>102.04</v>
      </c>
      <c r="P115" s="157">
        <v>1.41</v>
      </c>
      <c r="Q115" s="194">
        <f t="shared" si="26"/>
        <v>150.1</v>
      </c>
    </row>
    <row r="116" spans="1:17" ht="26.45" customHeight="1">
      <c r="A116" s="103">
        <v>5</v>
      </c>
      <c r="B116" s="242" t="s">
        <v>96</v>
      </c>
      <c r="C116" s="69" t="s">
        <v>194</v>
      </c>
      <c r="D116" s="243">
        <v>180</v>
      </c>
      <c r="E116" s="73">
        <v>5.72</v>
      </c>
      <c r="F116" s="220">
        <v>4.8600000000000003</v>
      </c>
      <c r="G116" s="220">
        <v>20.68</v>
      </c>
      <c r="H116" s="73">
        <f t="shared" ref="H116" si="42">E116*4+F116*9+G116*4</f>
        <v>149.34</v>
      </c>
      <c r="I116" s="73">
        <v>0.16</v>
      </c>
      <c r="J116" s="73">
        <v>0</v>
      </c>
      <c r="K116" s="73">
        <v>0.01</v>
      </c>
      <c r="L116" s="73">
        <v>0.4</v>
      </c>
      <c r="M116" s="73">
        <v>10.26</v>
      </c>
      <c r="N116" s="73">
        <v>135.55000000000001</v>
      </c>
      <c r="O116" s="73">
        <v>90.32</v>
      </c>
      <c r="P116" s="146">
        <v>3.1</v>
      </c>
      <c r="Q116" s="194">
        <f t="shared" si="26"/>
        <v>149.34</v>
      </c>
    </row>
    <row r="117" spans="1:17" ht="24" customHeight="1">
      <c r="A117" s="103">
        <v>5</v>
      </c>
      <c r="B117" s="95" t="s">
        <v>149</v>
      </c>
      <c r="C117" s="57" t="s">
        <v>55</v>
      </c>
      <c r="D117" s="123">
        <v>200</v>
      </c>
      <c r="E117" s="63">
        <v>0.14000000000000001</v>
      </c>
      <c r="F117" s="63">
        <v>0.05</v>
      </c>
      <c r="G117" s="63">
        <v>14.44</v>
      </c>
      <c r="H117" s="72">
        <f t="shared" si="41"/>
        <v>58.769999999999996</v>
      </c>
      <c r="I117" s="63">
        <v>0</v>
      </c>
      <c r="J117" s="63">
        <v>9.65</v>
      </c>
      <c r="K117" s="63">
        <v>0</v>
      </c>
      <c r="L117" s="63">
        <v>0.08</v>
      </c>
      <c r="M117" s="63">
        <v>6.83</v>
      </c>
      <c r="N117" s="63">
        <v>3.69</v>
      </c>
      <c r="O117" s="63">
        <v>2.89</v>
      </c>
      <c r="P117" s="151">
        <v>0.23400000000000001</v>
      </c>
      <c r="Q117" s="194">
        <f t="shared" si="26"/>
        <v>58.769999999999996</v>
      </c>
    </row>
    <row r="118" spans="1:17" ht="19.899999999999999" customHeight="1">
      <c r="A118" s="103">
        <v>5</v>
      </c>
      <c r="B118" s="95" t="s">
        <v>57</v>
      </c>
      <c r="C118" s="69" t="s">
        <v>20</v>
      </c>
      <c r="D118" s="60">
        <v>40</v>
      </c>
      <c r="E118" s="79">
        <v>7.6666666666666661</v>
      </c>
      <c r="F118" s="79">
        <v>0.66666666666666674</v>
      </c>
      <c r="G118" s="79">
        <v>49.333333333333336</v>
      </c>
      <c r="H118" s="72">
        <f t="shared" si="41"/>
        <v>234</v>
      </c>
      <c r="I118" s="79">
        <v>0</v>
      </c>
      <c r="J118" s="79">
        <v>0</v>
      </c>
      <c r="K118" s="79">
        <v>0</v>
      </c>
      <c r="L118" s="79">
        <v>1</v>
      </c>
      <c r="M118" s="79">
        <v>20</v>
      </c>
      <c r="N118" s="79">
        <v>65</v>
      </c>
      <c r="O118" s="79">
        <v>14.000000000000002</v>
      </c>
      <c r="P118" s="158">
        <v>1</v>
      </c>
      <c r="Q118" s="194">
        <f t="shared" si="26"/>
        <v>234</v>
      </c>
    </row>
    <row r="119" spans="1:17" ht="23.45" customHeight="1">
      <c r="A119" s="103">
        <v>5</v>
      </c>
      <c r="B119" s="95" t="s">
        <v>150</v>
      </c>
      <c r="C119" s="69" t="s">
        <v>21</v>
      </c>
      <c r="D119" s="60">
        <v>50</v>
      </c>
      <c r="E119" s="79">
        <v>6.5</v>
      </c>
      <c r="F119" s="80">
        <v>1.25</v>
      </c>
      <c r="G119" s="79">
        <v>39.5</v>
      </c>
      <c r="H119" s="72">
        <f t="shared" si="41"/>
        <v>195.25</v>
      </c>
      <c r="I119" s="80">
        <v>0.25</v>
      </c>
      <c r="J119" s="80">
        <v>0</v>
      </c>
      <c r="K119" s="80">
        <v>0</v>
      </c>
      <c r="L119" s="80">
        <v>1.5</v>
      </c>
      <c r="M119" s="80">
        <v>28.999999999999996</v>
      </c>
      <c r="N119" s="80">
        <v>150</v>
      </c>
      <c r="O119" s="80">
        <v>47</v>
      </c>
      <c r="P119" s="159">
        <v>4</v>
      </c>
      <c r="Q119" s="194">
        <f t="shared" si="26"/>
        <v>195.25</v>
      </c>
    </row>
    <row r="120" spans="1:17" ht="27" customHeight="1">
      <c r="A120" s="103">
        <v>5</v>
      </c>
      <c r="B120" s="95"/>
      <c r="C120" s="95" t="s">
        <v>18</v>
      </c>
      <c r="D120" s="60" t="e">
        <f>D111+D112+#REF!+D117+D118+D119</f>
        <v>#REF!</v>
      </c>
      <c r="E120" s="97">
        <f t="shared" ref="E120:P120" si="43">SUM(E111:E119)</f>
        <v>33.240551282051285</v>
      </c>
      <c r="F120" s="97">
        <f t="shared" si="43"/>
        <v>28.734666666666669</v>
      </c>
      <c r="G120" s="97">
        <f t="shared" si="43"/>
        <v>178.64460256410257</v>
      </c>
      <c r="H120" s="97">
        <f t="shared" si="43"/>
        <v>1106.1526153846153</v>
      </c>
      <c r="I120" s="97">
        <f t="shared" si="43"/>
        <v>0.45519230769230767</v>
      </c>
      <c r="J120" s="97">
        <f t="shared" si="43"/>
        <v>10.111923076923077</v>
      </c>
      <c r="K120" s="97">
        <f t="shared" si="43"/>
        <v>19.789230769230773</v>
      </c>
      <c r="L120" s="97">
        <f t="shared" si="43"/>
        <v>9.4734615384615388</v>
      </c>
      <c r="M120" s="97">
        <f t="shared" si="43"/>
        <v>222.77076923076922</v>
      </c>
      <c r="N120" s="97">
        <f t="shared" si="43"/>
        <v>474.15692307692308</v>
      </c>
      <c r="O120" s="97">
        <f t="shared" si="43"/>
        <v>597.80000000000007</v>
      </c>
      <c r="P120" s="154">
        <f t="shared" si="43"/>
        <v>14.62476923076923</v>
      </c>
      <c r="Q120" s="194">
        <f t="shared" si="26"/>
        <v>1106.1526153846155</v>
      </c>
    </row>
    <row r="121" spans="1:17" ht="18.75">
      <c r="A121" s="103">
        <v>5</v>
      </c>
      <c r="B121" s="247" t="s">
        <v>22</v>
      </c>
      <c r="C121" s="247"/>
      <c r="D121" s="247"/>
      <c r="E121" s="247"/>
      <c r="F121" s="247"/>
      <c r="G121" s="247"/>
      <c r="H121" s="247"/>
      <c r="I121" s="247"/>
      <c r="J121" s="247"/>
      <c r="K121" s="247"/>
      <c r="L121" s="247"/>
      <c r="M121" s="247"/>
      <c r="N121" s="247"/>
      <c r="O121" s="247"/>
      <c r="P121" s="248"/>
      <c r="Q121" s="194">
        <f t="shared" si="26"/>
        <v>0</v>
      </c>
    </row>
    <row r="122" spans="1:17" ht="37.5">
      <c r="A122" s="103">
        <v>5</v>
      </c>
      <c r="B122" s="96" t="s">
        <v>155</v>
      </c>
      <c r="C122" s="57" t="s">
        <v>238</v>
      </c>
      <c r="D122" s="222">
        <v>150</v>
      </c>
      <c r="E122" s="221">
        <f>(E123*2+E124*0.1)/2.1</f>
        <v>6.5476190476190474</v>
      </c>
      <c r="F122" s="221">
        <f t="shared" ref="F122:P122" si="44">(F123*2+F124*0.1)/2.1</f>
        <v>6.2952380952380942</v>
      </c>
      <c r="G122" s="221">
        <v>18.3</v>
      </c>
      <c r="H122" s="221">
        <f t="shared" si="44"/>
        <v>191.19047619047618</v>
      </c>
      <c r="I122" s="221">
        <f t="shared" si="44"/>
        <v>0.14571428571428571</v>
      </c>
      <c r="J122" s="221">
        <f t="shared" si="44"/>
        <v>4.7619047619047616E-2</v>
      </c>
      <c r="K122" s="221">
        <f t="shared" si="44"/>
        <v>1.9047619047619046E-2</v>
      </c>
      <c r="L122" s="221">
        <f t="shared" si="44"/>
        <v>2.2857142857142856</v>
      </c>
      <c r="M122" s="221">
        <f t="shared" si="44"/>
        <v>37</v>
      </c>
      <c r="N122" s="221">
        <f t="shared" si="44"/>
        <v>42.333333333333336</v>
      </c>
      <c r="O122" s="221">
        <f t="shared" si="44"/>
        <v>120.66666666666666</v>
      </c>
      <c r="P122" s="221">
        <f t="shared" si="44"/>
        <v>1.2476190476190476</v>
      </c>
      <c r="Q122" s="194">
        <f t="shared" si="26"/>
        <v>156.04761904761904</v>
      </c>
    </row>
    <row r="123" spans="1:17" ht="18.75">
      <c r="A123" s="103"/>
      <c r="B123" s="96"/>
      <c r="C123" s="57" t="s">
        <v>239</v>
      </c>
      <c r="D123" s="185">
        <v>150</v>
      </c>
      <c r="E123" s="109">
        <v>6.5</v>
      </c>
      <c r="F123" s="109">
        <v>6.6</v>
      </c>
      <c r="G123" s="109">
        <v>25.6</v>
      </c>
      <c r="H123" s="109">
        <f>Q123</f>
        <v>187.8</v>
      </c>
      <c r="I123" s="109">
        <v>0.15</v>
      </c>
      <c r="J123" s="109">
        <v>0</v>
      </c>
      <c r="K123" s="109">
        <v>0.02</v>
      </c>
      <c r="L123" s="109">
        <v>2.4</v>
      </c>
      <c r="M123" s="109">
        <v>23</v>
      </c>
      <c r="N123" s="109">
        <v>33</v>
      </c>
      <c r="O123" s="109">
        <v>125</v>
      </c>
      <c r="P123" s="150">
        <v>1.3</v>
      </c>
      <c r="Q123" s="194">
        <f t="shared" si="26"/>
        <v>187.8</v>
      </c>
    </row>
    <row r="124" spans="1:17" ht="18.75">
      <c r="A124" s="103"/>
      <c r="B124" s="96"/>
      <c r="C124" s="57" t="s">
        <v>240</v>
      </c>
      <c r="D124" s="185">
        <v>10</v>
      </c>
      <c r="E124" s="62">
        <v>7.5</v>
      </c>
      <c r="F124" s="62">
        <v>0.2</v>
      </c>
      <c r="G124" s="62">
        <v>56.8</v>
      </c>
      <c r="H124" s="109">
        <f t="shared" ref="H124:H126" si="45">Q124</f>
        <v>259</v>
      </c>
      <c r="I124" s="62">
        <v>0.06</v>
      </c>
      <c r="J124" s="62">
        <v>1</v>
      </c>
      <c r="K124" s="62">
        <v>0</v>
      </c>
      <c r="L124" s="62">
        <v>0</v>
      </c>
      <c r="M124" s="62">
        <v>317</v>
      </c>
      <c r="N124" s="62">
        <v>229</v>
      </c>
      <c r="O124" s="62">
        <v>34</v>
      </c>
      <c r="P124" s="143">
        <v>0.2</v>
      </c>
      <c r="Q124" s="194">
        <f t="shared" si="26"/>
        <v>259</v>
      </c>
    </row>
    <row r="125" spans="1:17" ht="18.75">
      <c r="A125" s="117"/>
      <c r="B125" s="231" t="s">
        <v>284</v>
      </c>
      <c r="C125" s="59" t="s">
        <v>285</v>
      </c>
      <c r="D125" s="232">
        <v>100</v>
      </c>
      <c r="E125" s="61">
        <v>1</v>
      </c>
      <c r="F125" s="61">
        <v>6.8</v>
      </c>
      <c r="G125" s="61">
        <v>7.9</v>
      </c>
      <c r="H125" s="61">
        <f>Q125</f>
        <v>96.799999999999983</v>
      </c>
      <c r="I125" s="61">
        <v>0</v>
      </c>
      <c r="J125" s="61">
        <v>9.6</v>
      </c>
      <c r="K125" s="61">
        <v>0</v>
      </c>
      <c r="L125" s="61">
        <v>3.3</v>
      </c>
      <c r="M125" s="61">
        <v>43.9</v>
      </c>
      <c r="N125" s="61">
        <v>41.4</v>
      </c>
      <c r="O125" s="61">
        <v>28</v>
      </c>
      <c r="P125" s="143">
        <v>1.4</v>
      </c>
      <c r="Q125" s="194">
        <f t="shared" si="26"/>
        <v>96.799999999999983</v>
      </c>
    </row>
    <row r="126" spans="1:17" ht="37.5">
      <c r="A126" s="103">
        <v>5</v>
      </c>
      <c r="B126" s="78" t="s">
        <v>151</v>
      </c>
      <c r="C126" s="59" t="s">
        <v>49</v>
      </c>
      <c r="D126" s="123">
        <v>200</v>
      </c>
      <c r="E126" s="62">
        <v>0.08</v>
      </c>
      <c r="F126" s="62">
        <v>0.08</v>
      </c>
      <c r="G126" s="62">
        <v>9.94</v>
      </c>
      <c r="H126" s="109">
        <f t="shared" si="45"/>
        <v>40.799999999999997</v>
      </c>
      <c r="I126" s="62">
        <v>0.01</v>
      </c>
      <c r="J126" s="62">
        <v>0.45</v>
      </c>
      <c r="K126" s="62">
        <v>0</v>
      </c>
      <c r="L126" s="62">
        <v>0.04</v>
      </c>
      <c r="M126" s="62">
        <v>6.97</v>
      </c>
      <c r="N126" s="62">
        <v>2.2000000000000002</v>
      </c>
      <c r="O126" s="62">
        <v>2.57</v>
      </c>
      <c r="P126" s="143">
        <v>0.46800000000000003</v>
      </c>
      <c r="Q126" s="194">
        <f t="shared" si="26"/>
        <v>40.799999999999997</v>
      </c>
    </row>
    <row r="127" spans="1:17" ht="18.75">
      <c r="A127" s="103">
        <v>5</v>
      </c>
      <c r="B127" s="95"/>
      <c r="C127" s="95" t="s">
        <v>18</v>
      </c>
      <c r="D127" s="60">
        <f>D122+D126</f>
        <v>350</v>
      </c>
      <c r="E127" s="97">
        <f t="shared" ref="E127:P127" si="46">SUM(E122:E126)</f>
        <v>21.627619047619046</v>
      </c>
      <c r="F127" s="96">
        <f t="shared" si="46"/>
        <v>19.97523809523809</v>
      </c>
      <c r="G127" s="97">
        <f t="shared" si="46"/>
        <v>118.54</v>
      </c>
      <c r="H127" s="97">
        <f t="shared" si="46"/>
        <v>775.59047619047612</v>
      </c>
      <c r="I127" s="96">
        <f t="shared" si="46"/>
        <v>0.36571428571428571</v>
      </c>
      <c r="J127" s="96">
        <f t="shared" si="46"/>
        <v>11.097619047619046</v>
      </c>
      <c r="K127" s="96">
        <f t="shared" si="46"/>
        <v>3.9047619047619046E-2</v>
      </c>
      <c r="L127" s="96">
        <f t="shared" si="46"/>
        <v>8.0257142857142849</v>
      </c>
      <c r="M127" s="96">
        <f t="shared" si="46"/>
        <v>427.87</v>
      </c>
      <c r="N127" s="96">
        <f t="shared" si="46"/>
        <v>347.93333333333334</v>
      </c>
      <c r="O127" s="96">
        <f t="shared" si="46"/>
        <v>310.23666666666662</v>
      </c>
      <c r="P127" s="141">
        <f t="shared" si="46"/>
        <v>4.6156190476190471</v>
      </c>
      <c r="Q127" s="194">
        <f t="shared" si="26"/>
        <v>740.44761904761901</v>
      </c>
    </row>
    <row r="128" spans="1:17" ht="18.75">
      <c r="A128" s="103">
        <v>5</v>
      </c>
      <c r="B128" s="84"/>
      <c r="C128" s="84" t="s">
        <v>29</v>
      </c>
      <c r="D128" s="85" t="e">
        <f>D127+D120+D109</f>
        <v>#REF!</v>
      </c>
      <c r="E128" s="86">
        <f t="shared" ref="E128:P128" si="47">E109+E120+E127</f>
        <v>66.10817032967033</v>
      </c>
      <c r="F128" s="87">
        <f t="shared" si="47"/>
        <v>60.41990476190476</v>
      </c>
      <c r="G128" s="86">
        <f t="shared" si="47"/>
        <v>368.4846025641026</v>
      </c>
      <c r="H128" s="86">
        <f t="shared" si="47"/>
        <v>2317.2930915750912</v>
      </c>
      <c r="I128" s="87">
        <f t="shared" si="47"/>
        <v>0.92090659340659342</v>
      </c>
      <c r="J128" s="87">
        <f t="shared" si="47"/>
        <v>31.329542124542122</v>
      </c>
      <c r="K128" s="87">
        <f t="shared" si="47"/>
        <v>19.97827838827839</v>
      </c>
      <c r="L128" s="87">
        <f t="shared" si="47"/>
        <v>22.369175824175827</v>
      </c>
      <c r="M128" s="87">
        <f t="shared" si="47"/>
        <v>786.89076923076925</v>
      </c>
      <c r="N128" s="87">
        <f t="shared" si="47"/>
        <v>957.59025641025642</v>
      </c>
      <c r="O128" s="87">
        <f t="shared" si="47"/>
        <v>932.13666666666677</v>
      </c>
      <c r="P128" s="160">
        <f t="shared" si="47"/>
        <v>22.78038827838828</v>
      </c>
      <c r="Q128" s="194">
        <f t="shared" si="26"/>
        <v>2282.1502344322344</v>
      </c>
    </row>
    <row r="129" spans="1:17">
      <c r="A129" s="117">
        <v>5</v>
      </c>
      <c r="B129" s="253" t="s">
        <v>17</v>
      </c>
      <c r="C129" s="253"/>
      <c r="D129" s="253"/>
      <c r="E129" s="253"/>
      <c r="F129" s="253"/>
      <c r="G129" s="253"/>
      <c r="H129" s="253"/>
      <c r="I129" s="253"/>
      <c r="J129" s="253"/>
      <c r="K129" s="253"/>
      <c r="L129" s="253"/>
      <c r="M129" s="253"/>
      <c r="N129" s="253"/>
      <c r="O129" s="253"/>
      <c r="P129" s="254"/>
      <c r="Q129" s="194">
        <f t="shared" si="26"/>
        <v>0</v>
      </c>
    </row>
    <row r="130" spans="1:17" ht="37.5">
      <c r="A130" s="117">
        <v>6</v>
      </c>
      <c r="B130" s="127" t="s">
        <v>248</v>
      </c>
      <c r="C130" s="67" t="s">
        <v>249</v>
      </c>
      <c r="D130" s="68">
        <v>250</v>
      </c>
      <c r="E130" s="215">
        <v>6.2</v>
      </c>
      <c r="F130" s="215">
        <v>4.5</v>
      </c>
      <c r="G130" s="62">
        <v>7.2</v>
      </c>
      <c r="H130" s="61">
        <f>Q130</f>
        <v>94.1</v>
      </c>
      <c r="I130" s="62">
        <v>0.04</v>
      </c>
      <c r="J130" s="62">
        <v>0.03</v>
      </c>
      <c r="K130" s="62">
        <v>0.01</v>
      </c>
      <c r="L130" s="62">
        <v>0.15</v>
      </c>
      <c r="M130" s="62">
        <v>65.2</v>
      </c>
      <c r="N130" s="62">
        <v>54.8</v>
      </c>
      <c r="O130" s="62">
        <v>10.7</v>
      </c>
      <c r="P130" s="143">
        <v>0.3</v>
      </c>
      <c r="Q130" s="194">
        <f t="shared" si="26"/>
        <v>94.1</v>
      </c>
    </row>
    <row r="131" spans="1:17" ht="18.75">
      <c r="A131" s="117">
        <v>6</v>
      </c>
      <c r="B131" s="66" t="s">
        <v>244</v>
      </c>
      <c r="C131" s="57" t="s">
        <v>211</v>
      </c>
      <c r="D131" s="68">
        <v>10</v>
      </c>
      <c r="E131" s="62">
        <v>2.5</v>
      </c>
      <c r="F131" s="62">
        <v>53</v>
      </c>
      <c r="G131" s="62">
        <v>18.899999999999999</v>
      </c>
      <c r="H131" s="61">
        <f t="shared" ref="H131:H133" si="48">Q131</f>
        <v>562.6</v>
      </c>
      <c r="I131" s="107">
        <v>0.01</v>
      </c>
      <c r="J131" s="108">
        <v>0</v>
      </c>
      <c r="K131" s="108">
        <v>0.4</v>
      </c>
      <c r="L131" s="108">
        <v>1</v>
      </c>
      <c r="M131" s="108">
        <v>24</v>
      </c>
      <c r="N131" s="61">
        <v>30</v>
      </c>
      <c r="O131" s="108">
        <v>0</v>
      </c>
      <c r="P131" s="144">
        <v>0.2</v>
      </c>
      <c r="Q131" s="194">
        <f t="shared" si="26"/>
        <v>562.6</v>
      </c>
    </row>
    <row r="132" spans="1:17" ht="18.75">
      <c r="A132" s="117">
        <v>6</v>
      </c>
      <c r="B132" s="105" t="s">
        <v>98</v>
      </c>
      <c r="C132" s="58" t="s">
        <v>24</v>
      </c>
      <c r="D132" s="68">
        <v>40</v>
      </c>
      <c r="E132" s="61">
        <v>8</v>
      </c>
      <c r="F132" s="61">
        <v>0.25</v>
      </c>
      <c r="G132" s="61">
        <v>53</v>
      </c>
      <c r="H132" s="61">
        <f t="shared" si="48"/>
        <v>246.25</v>
      </c>
      <c r="I132" s="61">
        <v>0.2</v>
      </c>
      <c r="J132" s="61">
        <v>4</v>
      </c>
      <c r="K132" s="61">
        <v>0</v>
      </c>
      <c r="L132" s="61">
        <v>0</v>
      </c>
      <c r="M132" s="61">
        <v>38</v>
      </c>
      <c r="N132" s="61">
        <v>130</v>
      </c>
      <c r="O132" s="61">
        <v>26</v>
      </c>
      <c r="P132" s="143">
        <v>2.5</v>
      </c>
      <c r="Q132" s="194">
        <f t="shared" si="26"/>
        <v>246.25</v>
      </c>
    </row>
    <row r="133" spans="1:17" ht="18.75">
      <c r="A133" s="117">
        <v>6</v>
      </c>
      <c r="B133" s="121" t="s">
        <v>192</v>
      </c>
      <c r="C133" s="57" t="s">
        <v>26</v>
      </c>
      <c r="D133" s="68">
        <v>200</v>
      </c>
      <c r="E133" s="61">
        <v>0.04</v>
      </c>
      <c r="F133" s="62">
        <v>0.01</v>
      </c>
      <c r="G133" s="61">
        <v>7.5</v>
      </c>
      <c r="H133" s="61">
        <f t="shared" si="48"/>
        <v>30.25</v>
      </c>
      <c r="I133" s="62">
        <v>0</v>
      </c>
      <c r="J133" s="62">
        <v>0</v>
      </c>
      <c r="K133" s="62">
        <v>0.02</v>
      </c>
      <c r="L133" s="62">
        <v>0</v>
      </c>
      <c r="M133" s="62">
        <v>5.55</v>
      </c>
      <c r="N133" s="62">
        <v>0.7</v>
      </c>
      <c r="O133" s="62">
        <v>1.4</v>
      </c>
      <c r="P133" s="143">
        <v>0.14000000000000001</v>
      </c>
      <c r="Q133" s="194">
        <f t="shared" si="26"/>
        <v>30.25</v>
      </c>
    </row>
    <row r="134" spans="1:17" ht="18.75">
      <c r="A134" s="117">
        <v>6</v>
      </c>
      <c r="B134" s="121"/>
      <c r="C134" s="122" t="s">
        <v>18</v>
      </c>
      <c r="D134" s="68">
        <f>D130+D131+D132+D133</f>
        <v>500</v>
      </c>
      <c r="E134" s="120">
        <f>SUM(E130:E133)</f>
        <v>16.739999999999998</v>
      </c>
      <c r="F134" s="120">
        <f t="shared" ref="F134:P134" si="49">SUM(F130:F133)</f>
        <v>57.76</v>
      </c>
      <c r="G134" s="120">
        <f t="shared" si="49"/>
        <v>86.6</v>
      </c>
      <c r="H134" s="120">
        <f t="shared" si="49"/>
        <v>933.2</v>
      </c>
      <c r="I134" s="120">
        <f t="shared" si="49"/>
        <v>0.25</v>
      </c>
      <c r="J134" s="120">
        <f t="shared" si="49"/>
        <v>4.03</v>
      </c>
      <c r="K134" s="120">
        <f t="shared" si="49"/>
        <v>0.43000000000000005</v>
      </c>
      <c r="L134" s="120">
        <f t="shared" si="49"/>
        <v>1.1499999999999999</v>
      </c>
      <c r="M134" s="120">
        <f t="shared" si="49"/>
        <v>132.75</v>
      </c>
      <c r="N134" s="120">
        <f t="shared" si="49"/>
        <v>215.5</v>
      </c>
      <c r="O134" s="120">
        <f t="shared" si="49"/>
        <v>38.1</v>
      </c>
      <c r="P134" s="145">
        <f t="shared" si="49"/>
        <v>3.14</v>
      </c>
      <c r="Q134" s="194">
        <f t="shared" si="26"/>
        <v>933.2</v>
      </c>
    </row>
    <row r="135" spans="1:17">
      <c r="A135" s="117">
        <v>6</v>
      </c>
      <c r="B135" s="253" t="s">
        <v>19</v>
      </c>
      <c r="C135" s="253"/>
      <c r="D135" s="253"/>
      <c r="E135" s="253"/>
      <c r="F135" s="253"/>
      <c r="G135" s="253"/>
      <c r="H135" s="253"/>
      <c r="I135" s="253"/>
      <c r="J135" s="253"/>
      <c r="K135" s="253"/>
      <c r="L135" s="253"/>
      <c r="M135" s="253"/>
      <c r="N135" s="253"/>
      <c r="O135" s="253"/>
      <c r="P135" s="254"/>
      <c r="Q135" s="194">
        <f t="shared" si="26"/>
        <v>0</v>
      </c>
    </row>
    <row r="136" spans="1:17" ht="33" customHeight="1">
      <c r="A136" s="117">
        <v>6</v>
      </c>
      <c r="B136" s="65" t="s">
        <v>250</v>
      </c>
      <c r="C136" s="92" t="s">
        <v>251</v>
      </c>
      <c r="D136" s="68">
        <v>100</v>
      </c>
      <c r="E136" s="61">
        <v>0.9</v>
      </c>
      <c r="F136" s="61">
        <v>3</v>
      </c>
      <c r="G136" s="61">
        <v>3.6</v>
      </c>
      <c r="H136" s="61">
        <f>Q136</f>
        <v>45</v>
      </c>
      <c r="I136" s="61">
        <v>0</v>
      </c>
      <c r="J136" s="61">
        <v>8.1999999999999993</v>
      </c>
      <c r="K136" s="61">
        <v>0</v>
      </c>
      <c r="L136" s="61">
        <v>0.3</v>
      </c>
      <c r="M136" s="61">
        <v>19</v>
      </c>
      <c r="N136" s="61">
        <v>33.9</v>
      </c>
      <c r="O136" s="61">
        <v>16</v>
      </c>
      <c r="P136" s="142">
        <v>0.7</v>
      </c>
      <c r="Q136" s="194">
        <f t="shared" si="26"/>
        <v>45</v>
      </c>
    </row>
    <row r="137" spans="1:17" ht="36.6" customHeight="1">
      <c r="A137" s="103">
        <v>1</v>
      </c>
      <c r="B137" s="88" t="s">
        <v>54</v>
      </c>
      <c r="C137" s="67" t="s">
        <v>303</v>
      </c>
      <c r="D137" s="68">
        <v>250</v>
      </c>
      <c r="E137" s="217">
        <v>2</v>
      </c>
      <c r="F137" s="217">
        <v>3</v>
      </c>
      <c r="G137" s="217">
        <f t="shared" ref="G137" si="50">(G138*0.15+G139*2)/2.15</f>
        <v>10.737209302325581</v>
      </c>
      <c r="H137" s="61">
        <f>Q137</f>
        <v>77.948837209302326</v>
      </c>
      <c r="I137" s="217">
        <f t="shared" ref="I137" si="51">(I138*0.15+I139*2)/2.15</f>
        <v>0.31930232558139537</v>
      </c>
      <c r="J137" s="217">
        <f t="shared" ref="J137" si="52">(J138*0.15+J139*2)/2.15</f>
        <v>2.2790697674418605</v>
      </c>
      <c r="K137" s="217">
        <f t="shared" ref="K137" si="53">(K138*0.15+K139*2)/2.15</f>
        <v>0.69767441860465118</v>
      </c>
      <c r="L137" s="217">
        <f t="shared" ref="L137" si="54">(L138*0.15+L139*2)/2.15</f>
        <v>1.2953488372093025</v>
      </c>
      <c r="M137" s="217">
        <f t="shared" ref="M137" si="55">(M138*0.15+M139*2)/2.15</f>
        <v>18.323255813953491</v>
      </c>
      <c r="N137" s="217">
        <f t="shared" ref="N137" si="56">(N138*0.15+N139*2)/2.15</f>
        <v>70.255813953488385</v>
      </c>
      <c r="O137" s="217">
        <f t="shared" ref="O137" si="57">(O138*0.15+O139*2)/2.15</f>
        <v>21.581395348837209</v>
      </c>
      <c r="P137" s="217">
        <f t="shared" ref="P137" si="58">(P138*0.15+P139*2)/2.15</f>
        <v>1.3651162790697673</v>
      </c>
      <c r="Q137" s="194">
        <f t="shared" si="26"/>
        <v>77.948837209302326</v>
      </c>
    </row>
    <row r="138" spans="1:17" ht="22.15" customHeight="1">
      <c r="A138" s="103"/>
      <c r="B138" s="90" t="s">
        <v>205</v>
      </c>
      <c r="C138" s="67" t="s">
        <v>204</v>
      </c>
      <c r="D138" s="68">
        <v>15</v>
      </c>
      <c r="E138" s="221">
        <v>9.8000000000000007</v>
      </c>
      <c r="F138" s="109">
        <v>1</v>
      </c>
      <c r="G138" s="109">
        <v>65.900000000000006</v>
      </c>
      <c r="H138" s="109">
        <v>311.8</v>
      </c>
      <c r="I138" s="109">
        <v>0.31</v>
      </c>
      <c r="J138" s="109">
        <v>0</v>
      </c>
      <c r="K138" s="109">
        <v>0</v>
      </c>
      <c r="L138" s="109">
        <v>2.2999999999999998</v>
      </c>
      <c r="M138" s="109">
        <v>5.3</v>
      </c>
      <c r="N138" s="109">
        <v>271</v>
      </c>
      <c r="O138" s="109">
        <v>80</v>
      </c>
      <c r="P138" s="148">
        <v>6.9</v>
      </c>
      <c r="Q138" s="194">
        <f t="shared" si="26"/>
        <v>311.8</v>
      </c>
    </row>
    <row r="139" spans="1:17" ht="25.15" customHeight="1">
      <c r="A139" s="103"/>
      <c r="B139" s="90"/>
      <c r="C139" s="67" t="s">
        <v>206</v>
      </c>
      <c r="D139" s="68">
        <v>200</v>
      </c>
      <c r="E139" s="93">
        <v>3.6</v>
      </c>
      <c r="F139" s="93">
        <v>3.54</v>
      </c>
      <c r="G139" s="93">
        <v>6.6</v>
      </c>
      <c r="H139" s="93">
        <f>Q139</f>
        <v>72.66</v>
      </c>
      <c r="I139" s="93">
        <v>0.32</v>
      </c>
      <c r="J139" s="93">
        <v>2.4500000000000002</v>
      </c>
      <c r="K139" s="93">
        <v>0.75</v>
      </c>
      <c r="L139" s="93">
        <v>1.22</v>
      </c>
      <c r="M139" s="93">
        <v>19.3</v>
      </c>
      <c r="N139" s="93">
        <v>55.2</v>
      </c>
      <c r="O139" s="93">
        <v>17.2</v>
      </c>
      <c r="P139" s="149">
        <v>0.95</v>
      </c>
      <c r="Q139" s="194">
        <f t="shared" si="26"/>
        <v>72.66</v>
      </c>
    </row>
    <row r="140" spans="1:17" ht="27.6" customHeight="1">
      <c r="A140" s="117"/>
      <c r="B140" s="90" t="s">
        <v>253</v>
      </c>
      <c r="C140" s="67" t="s">
        <v>252</v>
      </c>
      <c r="D140" s="68">
        <v>180</v>
      </c>
      <c r="E140" s="217">
        <v>8</v>
      </c>
      <c r="F140" s="217">
        <v>10.8</v>
      </c>
      <c r="G140" s="217">
        <v>13.2</v>
      </c>
      <c r="H140" s="61">
        <f t="shared" ref="H140:H144" si="59">Q140</f>
        <v>182</v>
      </c>
      <c r="I140" s="93">
        <v>0</v>
      </c>
      <c r="J140" s="93">
        <v>0.3</v>
      </c>
      <c r="K140" s="93">
        <v>0.9</v>
      </c>
      <c r="L140" s="93">
        <v>1.8</v>
      </c>
      <c r="M140" s="93">
        <v>8.3000000000000007</v>
      </c>
      <c r="N140" s="93">
        <v>26.4</v>
      </c>
      <c r="O140" s="93">
        <v>116.4</v>
      </c>
      <c r="P140" s="93">
        <v>1.2</v>
      </c>
      <c r="Q140" s="194">
        <f t="shared" ref="Q140:Q203" si="60">E140*4+F140*9+G140*4</f>
        <v>182</v>
      </c>
    </row>
    <row r="141" spans="1:17" ht="18.600000000000001" customHeight="1">
      <c r="A141" s="117"/>
      <c r="B141" s="121" t="s">
        <v>149</v>
      </c>
      <c r="C141" s="57" t="s">
        <v>55</v>
      </c>
      <c r="D141" s="123">
        <v>200</v>
      </c>
      <c r="E141" s="63">
        <v>0.14000000000000001</v>
      </c>
      <c r="F141" s="63">
        <v>0.05</v>
      </c>
      <c r="G141" s="63">
        <v>14.44</v>
      </c>
      <c r="H141" s="61">
        <f t="shared" si="59"/>
        <v>58.769999999999996</v>
      </c>
      <c r="I141" s="63">
        <v>0</v>
      </c>
      <c r="J141" s="63">
        <v>9.65</v>
      </c>
      <c r="K141" s="63">
        <v>0</v>
      </c>
      <c r="L141" s="63">
        <v>0.08</v>
      </c>
      <c r="M141" s="63">
        <v>6.83</v>
      </c>
      <c r="N141" s="63">
        <v>3.69</v>
      </c>
      <c r="O141" s="63">
        <v>2.89</v>
      </c>
      <c r="P141" s="151">
        <v>0.23400000000000001</v>
      </c>
      <c r="Q141" s="194">
        <f t="shared" si="60"/>
        <v>58.769999999999996</v>
      </c>
    </row>
    <row r="142" spans="1:17" ht="18.75">
      <c r="A142" s="117"/>
      <c r="B142" s="121" t="s">
        <v>57</v>
      </c>
      <c r="C142" s="69" t="s">
        <v>20</v>
      </c>
      <c r="D142" s="60">
        <v>40</v>
      </c>
      <c r="E142" s="79">
        <v>7.6666666666666661</v>
      </c>
      <c r="F142" s="79">
        <v>0.66666666666666674</v>
      </c>
      <c r="G142" s="79">
        <v>49.333333333333336</v>
      </c>
      <c r="H142" s="61">
        <f t="shared" si="59"/>
        <v>234</v>
      </c>
      <c r="I142" s="79">
        <v>0</v>
      </c>
      <c r="J142" s="79">
        <v>0</v>
      </c>
      <c r="K142" s="79">
        <v>0</v>
      </c>
      <c r="L142" s="79">
        <v>1</v>
      </c>
      <c r="M142" s="79">
        <v>20</v>
      </c>
      <c r="N142" s="79">
        <v>65</v>
      </c>
      <c r="O142" s="79">
        <v>14.000000000000002</v>
      </c>
      <c r="P142" s="158">
        <v>1</v>
      </c>
      <c r="Q142" s="194">
        <f t="shared" si="60"/>
        <v>234</v>
      </c>
    </row>
    <row r="143" spans="1:17" ht="22.9" customHeight="1">
      <c r="A143" s="117">
        <v>6</v>
      </c>
      <c r="B143" s="121" t="s">
        <v>150</v>
      </c>
      <c r="C143" s="69" t="s">
        <v>21</v>
      </c>
      <c r="D143" s="60">
        <v>50</v>
      </c>
      <c r="E143" s="79">
        <v>6.5</v>
      </c>
      <c r="F143" s="80">
        <v>1.25</v>
      </c>
      <c r="G143" s="79">
        <v>39.5</v>
      </c>
      <c r="H143" s="61">
        <f t="shared" si="59"/>
        <v>195.25</v>
      </c>
      <c r="I143" s="80">
        <v>0.25</v>
      </c>
      <c r="J143" s="80">
        <v>0</v>
      </c>
      <c r="K143" s="80">
        <v>0</v>
      </c>
      <c r="L143" s="80">
        <v>1.5</v>
      </c>
      <c r="M143" s="80">
        <v>28.999999999999996</v>
      </c>
      <c r="N143" s="80">
        <v>150</v>
      </c>
      <c r="O143" s="80">
        <v>47</v>
      </c>
      <c r="P143" s="159">
        <v>4</v>
      </c>
      <c r="Q143" s="194">
        <f t="shared" si="60"/>
        <v>195.25</v>
      </c>
    </row>
    <row r="144" spans="1:17" ht="20.45" customHeight="1">
      <c r="A144" s="103">
        <v>3</v>
      </c>
      <c r="B144" s="76"/>
      <c r="C144" s="57" t="s">
        <v>216</v>
      </c>
      <c r="D144" s="228">
        <v>150</v>
      </c>
      <c r="E144" s="63">
        <v>0.4</v>
      </c>
      <c r="F144" s="70">
        <v>0.4</v>
      </c>
      <c r="G144" s="63">
        <v>9.8000000000000007</v>
      </c>
      <c r="H144" s="61">
        <f t="shared" si="59"/>
        <v>44.400000000000006</v>
      </c>
      <c r="I144" s="70">
        <v>0.03</v>
      </c>
      <c r="J144" s="70">
        <v>10</v>
      </c>
      <c r="K144" s="70">
        <v>0</v>
      </c>
      <c r="L144" s="70">
        <v>0.2</v>
      </c>
      <c r="M144" s="70">
        <v>16</v>
      </c>
      <c r="N144" s="70">
        <v>11</v>
      </c>
      <c r="O144" s="70">
        <v>9</v>
      </c>
      <c r="P144" s="153">
        <v>2.2000000000000002</v>
      </c>
      <c r="Q144" s="194">
        <f t="shared" si="60"/>
        <v>44.400000000000006</v>
      </c>
    </row>
    <row r="145" spans="1:17" ht="18.75">
      <c r="A145" s="117">
        <v>6</v>
      </c>
      <c r="B145" s="121"/>
      <c r="C145" s="121" t="s">
        <v>18</v>
      </c>
      <c r="D145" s="60">
        <f>D136+D137+D140+D141+D142+D143</f>
        <v>820</v>
      </c>
      <c r="E145" s="124">
        <f>E136+E137+E140+E141+E142+E143+E144</f>
        <v>25.606666666666666</v>
      </c>
      <c r="F145" s="229">
        <f t="shared" ref="F145:P145" si="61">F136+F137+F140+F141+F142+F143+F144</f>
        <v>19.166666666666668</v>
      </c>
      <c r="G145" s="229">
        <f t="shared" si="61"/>
        <v>140.61054263565893</v>
      </c>
      <c r="H145" s="229">
        <f t="shared" si="61"/>
        <v>837.36883720930234</v>
      </c>
      <c r="I145" s="229">
        <f t="shared" si="61"/>
        <v>0.5993023255813954</v>
      </c>
      <c r="J145" s="229">
        <f t="shared" si="61"/>
        <v>30.42906976744186</v>
      </c>
      <c r="K145" s="229">
        <f t="shared" si="61"/>
        <v>1.5976744186046512</v>
      </c>
      <c r="L145" s="229">
        <f t="shared" si="61"/>
        <v>6.1753488372093033</v>
      </c>
      <c r="M145" s="229">
        <f t="shared" si="61"/>
        <v>117.45325581395349</v>
      </c>
      <c r="N145" s="229">
        <f t="shared" si="61"/>
        <v>360.24581395348838</v>
      </c>
      <c r="O145" s="229">
        <f t="shared" si="61"/>
        <v>226.87139534883721</v>
      </c>
      <c r="P145" s="229">
        <f t="shared" si="61"/>
        <v>10.699116279069766</v>
      </c>
      <c r="Q145" s="194">
        <f t="shared" si="60"/>
        <v>837.36883720930246</v>
      </c>
    </row>
    <row r="146" spans="1:17" ht="18.75">
      <c r="A146" s="117">
        <v>6</v>
      </c>
      <c r="B146" s="247" t="s">
        <v>22</v>
      </c>
      <c r="C146" s="247"/>
      <c r="D146" s="247"/>
      <c r="E146" s="247"/>
      <c r="F146" s="247"/>
      <c r="G146" s="247"/>
      <c r="H146" s="247"/>
      <c r="I146" s="247"/>
      <c r="J146" s="247"/>
      <c r="K146" s="247"/>
      <c r="L146" s="247"/>
      <c r="M146" s="247"/>
      <c r="N146" s="247"/>
      <c r="O146" s="247"/>
      <c r="P146" s="248"/>
      <c r="Q146" s="194">
        <f t="shared" si="60"/>
        <v>0</v>
      </c>
    </row>
    <row r="147" spans="1:17" ht="18.75">
      <c r="A147" s="117">
        <v>6</v>
      </c>
      <c r="B147" s="121" t="s">
        <v>225</v>
      </c>
      <c r="C147" s="59" t="s">
        <v>288</v>
      </c>
      <c r="D147" s="123">
        <v>65</v>
      </c>
      <c r="E147" s="61">
        <v>4</v>
      </c>
      <c r="F147" s="216">
        <v>4.7</v>
      </c>
      <c r="G147" s="61">
        <v>27.8</v>
      </c>
      <c r="H147" s="61">
        <f>Q147</f>
        <v>169.5</v>
      </c>
      <c r="I147" s="61">
        <v>0.1</v>
      </c>
      <c r="J147" s="61">
        <v>0.1</v>
      </c>
      <c r="K147" s="61">
        <v>0</v>
      </c>
      <c r="L147" s="61">
        <v>1.3</v>
      </c>
      <c r="M147" s="61">
        <v>75.8</v>
      </c>
      <c r="N147" s="61">
        <v>140</v>
      </c>
      <c r="O147" s="61">
        <v>34.6</v>
      </c>
      <c r="P147" s="143">
        <v>1.5</v>
      </c>
      <c r="Q147" s="194">
        <f t="shared" si="60"/>
        <v>169.5</v>
      </c>
    </row>
    <row r="148" spans="1:17" ht="18.75">
      <c r="A148" s="117"/>
      <c r="B148" s="211" t="s">
        <v>284</v>
      </c>
      <c r="C148" s="59" t="s">
        <v>285</v>
      </c>
      <c r="D148" s="213">
        <v>100</v>
      </c>
      <c r="E148" s="61">
        <v>1</v>
      </c>
      <c r="F148" s="61">
        <v>6.8</v>
      </c>
      <c r="G148" s="61">
        <v>7.9</v>
      </c>
      <c r="H148" s="61">
        <f>Q148</f>
        <v>96.799999999999983</v>
      </c>
      <c r="I148" s="61">
        <v>0</v>
      </c>
      <c r="J148" s="61">
        <v>9.6</v>
      </c>
      <c r="K148" s="61">
        <v>0</v>
      </c>
      <c r="L148" s="61">
        <v>3.3</v>
      </c>
      <c r="M148" s="61">
        <v>43.9</v>
      </c>
      <c r="N148" s="61">
        <v>41.4</v>
      </c>
      <c r="O148" s="61">
        <v>28</v>
      </c>
      <c r="P148" s="143">
        <v>1.4</v>
      </c>
      <c r="Q148" s="194">
        <f t="shared" si="60"/>
        <v>96.799999999999983</v>
      </c>
    </row>
    <row r="149" spans="1:17" ht="18.75">
      <c r="A149" s="117">
        <v>6</v>
      </c>
      <c r="B149" s="106" t="s">
        <v>154</v>
      </c>
      <c r="C149" s="59" t="s">
        <v>56</v>
      </c>
      <c r="D149" s="123">
        <v>150</v>
      </c>
      <c r="E149" s="62">
        <v>0.33</v>
      </c>
      <c r="F149" s="62">
        <v>0.05</v>
      </c>
      <c r="G149" s="62">
        <v>14.01</v>
      </c>
      <c r="H149" s="61">
        <f>Q149</f>
        <v>57.81</v>
      </c>
      <c r="I149" s="62">
        <v>0.01</v>
      </c>
      <c r="J149" s="62">
        <v>0.34</v>
      </c>
      <c r="K149" s="62">
        <v>0</v>
      </c>
      <c r="L149" s="62">
        <v>0.25</v>
      </c>
      <c r="M149" s="62">
        <v>16.18</v>
      </c>
      <c r="N149" s="62">
        <v>11.72</v>
      </c>
      <c r="O149" s="62">
        <v>8.73</v>
      </c>
      <c r="P149" s="143">
        <v>0.34399999999999997</v>
      </c>
      <c r="Q149" s="194">
        <f t="shared" si="60"/>
        <v>57.81</v>
      </c>
    </row>
    <row r="150" spans="1:17" s="134" customFormat="1" ht="15" customHeight="1">
      <c r="A150" s="129">
        <v>6</v>
      </c>
      <c r="B150" s="121"/>
      <c r="C150" s="59" t="s">
        <v>157</v>
      </c>
      <c r="D150" s="123">
        <f>SUM(D147:D149)</f>
        <v>315</v>
      </c>
      <c r="E150" s="124">
        <f>SUM(E147:E149)</f>
        <v>5.33</v>
      </c>
      <c r="F150" s="124">
        <f t="shared" ref="F150:P150" si="62">SUM(F147:F149)</f>
        <v>11.55</v>
      </c>
      <c r="G150" s="124">
        <f t="shared" si="62"/>
        <v>49.71</v>
      </c>
      <c r="H150" s="124">
        <f t="shared" si="62"/>
        <v>324.10999999999996</v>
      </c>
      <c r="I150" s="124">
        <f t="shared" si="62"/>
        <v>0.11</v>
      </c>
      <c r="J150" s="124">
        <f t="shared" si="62"/>
        <v>10.039999999999999</v>
      </c>
      <c r="K150" s="124">
        <f t="shared" si="62"/>
        <v>0</v>
      </c>
      <c r="L150" s="124">
        <f t="shared" si="62"/>
        <v>4.8499999999999996</v>
      </c>
      <c r="M150" s="124">
        <f t="shared" si="62"/>
        <v>135.88</v>
      </c>
      <c r="N150" s="124">
        <f t="shared" si="62"/>
        <v>193.12</v>
      </c>
      <c r="O150" s="124">
        <f t="shared" si="62"/>
        <v>71.33</v>
      </c>
      <c r="P150" s="154">
        <f t="shared" si="62"/>
        <v>3.2439999999999998</v>
      </c>
      <c r="Q150" s="194">
        <f t="shared" si="60"/>
        <v>324.11</v>
      </c>
    </row>
    <row r="151" spans="1:17" ht="18.75">
      <c r="A151" s="117">
        <v>6</v>
      </c>
      <c r="B151" s="121"/>
      <c r="C151" s="121" t="s">
        <v>30</v>
      </c>
      <c r="D151" s="123">
        <f t="shared" ref="D151:P151" si="63">D150+D145+D134</f>
        <v>1635</v>
      </c>
      <c r="E151" s="124">
        <f t="shared" si="63"/>
        <v>47.676666666666662</v>
      </c>
      <c r="F151" s="124">
        <f t="shared" si="63"/>
        <v>88.476666666666659</v>
      </c>
      <c r="G151" s="124">
        <f t="shared" si="63"/>
        <v>276.92054263565893</v>
      </c>
      <c r="H151" s="124">
        <f t="shared" si="63"/>
        <v>2094.6788372093024</v>
      </c>
      <c r="I151" s="124">
        <f t="shared" si="63"/>
        <v>0.95930232558139539</v>
      </c>
      <c r="J151" s="124">
        <f t="shared" si="63"/>
        <v>44.49906976744186</v>
      </c>
      <c r="K151" s="124">
        <f t="shared" si="63"/>
        <v>2.0276744186046511</v>
      </c>
      <c r="L151" s="124">
        <f t="shared" si="63"/>
        <v>12.175348837209304</v>
      </c>
      <c r="M151" s="124">
        <f t="shared" si="63"/>
        <v>386.08325581395349</v>
      </c>
      <c r="N151" s="124">
        <f t="shared" si="63"/>
        <v>768.86581395348844</v>
      </c>
      <c r="O151" s="124">
        <f t="shared" si="63"/>
        <v>336.30139534883722</v>
      </c>
      <c r="P151" s="154">
        <f t="shared" si="63"/>
        <v>17.083116279069767</v>
      </c>
      <c r="Q151" s="194">
        <f t="shared" si="60"/>
        <v>2094.6788372093024</v>
      </c>
    </row>
    <row r="152" spans="1:17" ht="18.75">
      <c r="A152" s="117">
        <v>7</v>
      </c>
      <c r="B152" s="247" t="s">
        <v>17</v>
      </c>
      <c r="C152" s="247"/>
      <c r="D152" s="247"/>
      <c r="E152" s="247"/>
      <c r="F152" s="247"/>
      <c r="G152" s="247"/>
      <c r="H152" s="247"/>
      <c r="I152" s="247"/>
      <c r="J152" s="247"/>
      <c r="K152" s="247"/>
      <c r="L152" s="247"/>
      <c r="M152" s="247"/>
      <c r="N152" s="247"/>
      <c r="O152" s="247"/>
      <c r="P152" s="248"/>
      <c r="Q152" s="194">
        <f t="shared" si="60"/>
        <v>0</v>
      </c>
    </row>
    <row r="153" spans="1:17" ht="37.5">
      <c r="A153" s="117">
        <v>7</v>
      </c>
      <c r="B153" s="122" t="s">
        <v>165</v>
      </c>
      <c r="C153" s="57" t="s">
        <v>108</v>
      </c>
      <c r="D153" s="123">
        <v>210</v>
      </c>
      <c r="E153" s="61">
        <v>8.76</v>
      </c>
      <c r="F153" s="61">
        <v>6.11</v>
      </c>
      <c r="G153" s="61">
        <v>15.08</v>
      </c>
      <c r="H153" s="61">
        <f>Q153</f>
        <v>150.35</v>
      </c>
      <c r="I153" s="61">
        <v>0.03</v>
      </c>
      <c r="J153" s="61">
        <v>0.77</v>
      </c>
      <c r="K153" s="61">
        <v>0.04</v>
      </c>
      <c r="L153" s="61">
        <v>2.85</v>
      </c>
      <c r="M153" s="61">
        <v>74.94</v>
      </c>
      <c r="N153" s="61">
        <v>105.25</v>
      </c>
      <c r="O153" s="61">
        <v>11.22</v>
      </c>
      <c r="P153" s="173">
        <v>0.44</v>
      </c>
      <c r="Q153" s="194">
        <f t="shared" si="60"/>
        <v>150.35</v>
      </c>
    </row>
    <row r="154" spans="1:17" ht="18.75">
      <c r="A154" s="117">
        <v>7</v>
      </c>
      <c r="B154" s="106" t="s">
        <v>98</v>
      </c>
      <c r="C154" s="75" t="s">
        <v>24</v>
      </c>
      <c r="D154" s="68">
        <v>40</v>
      </c>
      <c r="E154" s="61">
        <v>8</v>
      </c>
      <c r="F154" s="61">
        <v>0.25</v>
      </c>
      <c r="G154" s="61">
        <v>53</v>
      </c>
      <c r="H154" s="61">
        <f t="shared" ref="H154:H158" si="64">Q154</f>
        <v>246.25</v>
      </c>
      <c r="I154" s="61">
        <v>0.2</v>
      </c>
      <c r="J154" s="61">
        <v>4</v>
      </c>
      <c r="K154" s="61">
        <v>0</v>
      </c>
      <c r="L154" s="61">
        <v>0</v>
      </c>
      <c r="M154" s="61">
        <v>38</v>
      </c>
      <c r="N154" s="61">
        <v>130</v>
      </c>
      <c r="O154" s="61">
        <v>26</v>
      </c>
      <c r="P154" s="143">
        <v>2.5</v>
      </c>
      <c r="Q154" s="194">
        <f t="shared" si="60"/>
        <v>246.25</v>
      </c>
    </row>
    <row r="155" spans="1:17" ht="18.75">
      <c r="A155" s="117">
        <v>7</v>
      </c>
      <c r="B155" s="112" t="s">
        <v>218</v>
      </c>
      <c r="C155" s="57" t="s">
        <v>254</v>
      </c>
      <c r="D155" s="123">
        <v>20</v>
      </c>
      <c r="E155" s="62">
        <v>23.2</v>
      </c>
      <c r="F155" s="62">
        <v>29.5</v>
      </c>
      <c r="G155" s="62">
        <v>0</v>
      </c>
      <c r="H155" s="61">
        <f t="shared" si="64"/>
        <v>358.3</v>
      </c>
      <c r="I155" s="62">
        <v>0</v>
      </c>
      <c r="J155" s="62">
        <v>0.7</v>
      </c>
      <c r="K155" s="62">
        <v>0.26</v>
      </c>
      <c r="L155" s="62">
        <v>0.5</v>
      </c>
      <c r="M155" s="62">
        <v>880</v>
      </c>
      <c r="N155" s="62">
        <v>500</v>
      </c>
      <c r="O155" s="62">
        <v>35</v>
      </c>
      <c r="P155" s="173">
        <v>1</v>
      </c>
      <c r="Q155" s="194">
        <f t="shared" si="60"/>
        <v>358.3</v>
      </c>
    </row>
    <row r="156" spans="1:17" ht="23.45" customHeight="1">
      <c r="A156" s="117">
        <v>7</v>
      </c>
      <c r="B156" s="203" t="s">
        <v>170</v>
      </c>
      <c r="C156" s="83" t="s">
        <v>255</v>
      </c>
      <c r="D156" s="68">
        <v>30</v>
      </c>
      <c r="E156" s="62">
        <v>19.600000000000001</v>
      </c>
      <c r="F156" s="62">
        <v>26.2</v>
      </c>
      <c r="G156" s="62">
        <v>0</v>
      </c>
      <c r="H156" s="61">
        <f t="shared" si="64"/>
        <v>314.2</v>
      </c>
      <c r="I156" s="62">
        <v>0.62</v>
      </c>
      <c r="J156" s="62">
        <v>0</v>
      </c>
      <c r="K156" s="62">
        <v>0</v>
      </c>
      <c r="L156" s="62">
        <v>0.4</v>
      </c>
      <c r="M156" s="62">
        <v>22</v>
      </c>
      <c r="N156" s="62">
        <v>160</v>
      </c>
      <c r="O156" s="62">
        <v>22</v>
      </c>
      <c r="P156" s="173">
        <v>1.8</v>
      </c>
      <c r="Q156" s="194">
        <f t="shared" si="60"/>
        <v>314.2</v>
      </c>
    </row>
    <row r="157" spans="1:17" ht="21.6" customHeight="1">
      <c r="A157" s="117"/>
      <c r="B157" s="204"/>
      <c r="C157" s="83" t="s">
        <v>95</v>
      </c>
      <c r="D157" s="68">
        <f>(D155+D156)/2</f>
        <v>25</v>
      </c>
      <c r="E157" s="62">
        <f>(E155+E156)/2</f>
        <v>21.4</v>
      </c>
      <c r="F157" s="62">
        <f t="shared" ref="F157:P157" si="65">(F155+F156)/2</f>
        <v>27.85</v>
      </c>
      <c r="G157" s="62">
        <f t="shared" si="65"/>
        <v>0</v>
      </c>
      <c r="H157" s="61">
        <f t="shared" si="64"/>
        <v>336.25</v>
      </c>
      <c r="I157" s="62">
        <f t="shared" si="65"/>
        <v>0.31</v>
      </c>
      <c r="J157" s="62">
        <f t="shared" si="65"/>
        <v>0.35</v>
      </c>
      <c r="K157" s="62">
        <f t="shared" si="65"/>
        <v>0.13</v>
      </c>
      <c r="L157" s="62">
        <f t="shared" si="65"/>
        <v>0.45</v>
      </c>
      <c r="M157" s="62">
        <f t="shared" si="65"/>
        <v>451</v>
      </c>
      <c r="N157" s="62">
        <f t="shared" si="65"/>
        <v>330</v>
      </c>
      <c r="O157" s="62">
        <f t="shared" si="65"/>
        <v>28.5</v>
      </c>
      <c r="P157" s="62">
        <f t="shared" si="65"/>
        <v>1.4</v>
      </c>
      <c r="Q157" s="194">
        <f t="shared" si="60"/>
        <v>336.25</v>
      </c>
    </row>
    <row r="158" spans="1:17" ht="23.45" customHeight="1">
      <c r="A158" s="117"/>
      <c r="B158" s="65" t="s">
        <v>163</v>
      </c>
      <c r="C158" s="83" t="s">
        <v>53</v>
      </c>
      <c r="D158" s="68">
        <v>200</v>
      </c>
      <c r="E158" s="62">
        <v>2.04</v>
      </c>
      <c r="F158" s="62">
        <v>1.77</v>
      </c>
      <c r="G158" s="62">
        <v>8.7899999999999991</v>
      </c>
      <c r="H158" s="61">
        <f t="shared" si="64"/>
        <v>59.25</v>
      </c>
      <c r="I158" s="62">
        <v>0.03</v>
      </c>
      <c r="J158" s="62">
        <v>0.79</v>
      </c>
      <c r="K158" s="62">
        <v>0.01</v>
      </c>
      <c r="L158" s="62">
        <v>0</v>
      </c>
      <c r="M158" s="62">
        <v>76.11</v>
      </c>
      <c r="N158" s="62">
        <v>62.28</v>
      </c>
      <c r="O158" s="62">
        <v>10.67</v>
      </c>
      <c r="P158" s="143">
        <v>0.24</v>
      </c>
      <c r="Q158" s="194">
        <f t="shared" si="60"/>
        <v>59.25</v>
      </c>
    </row>
    <row r="159" spans="1:17" ht="18.75">
      <c r="A159" s="117">
        <v>7</v>
      </c>
      <c r="B159" s="121"/>
      <c r="C159" s="122" t="s">
        <v>18</v>
      </c>
      <c r="D159" s="123">
        <f>D153+D154+D157+D158</f>
        <v>475</v>
      </c>
      <c r="E159" s="124">
        <f>E153+E154+E157+E158</f>
        <v>40.199999999999996</v>
      </c>
      <c r="F159" s="124">
        <f t="shared" ref="F159:P159" si="66">F153+F154+F157+F158</f>
        <v>35.980000000000004</v>
      </c>
      <c r="G159" s="124">
        <f t="shared" si="66"/>
        <v>76.87</v>
      </c>
      <c r="H159" s="124">
        <f t="shared" si="66"/>
        <v>792.1</v>
      </c>
      <c r="I159" s="124">
        <f t="shared" si="66"/>
        <v>0.57000000000000006</v>
      </c>
      <c r="J159" s="124">
        <f t="shared" si="66"/>
        <v>5.9099999999999993</v>
      </c>
      <c r="K159" s="124">
        <f t="shared" si="66"/>
        <v>0.18000000000000002</v>
      </c>
      <c r="L159" s="124">
        <f t="shared" si="66"/>
        <v>3.3000000000000003</v>
      </c>
      <c r="M159" s="124">
        <f t="shared" si="66"/>
        <v>640.05000000000007</v>
      </c>
      <c r="N159" s="124">
        <f t="shared" si="66"/>
        <v>627.53</v>
      </c>
      <c r="O159" s="124">
        <f t="shared" si="66"/>
        <v>76.39</v>
      </c>
      <c r="P159" s="124">
        <f t="shared" si="66"/>
        <v>4.58</v>
      </c>
      <c r="Q159" s="194">
        <f t="shared" si="60"/>
        <v>792.1</v>
      </c>
    </row>
    <row r="160" spans="1:17" ht="18.75">
      <c r="A160" s="117">
        <v>7</v>
      </c>
      <c r="B160" s="247" t="s">
        <v>19</v>
      </c>
      <c r="C160" s="247"/>
      <c r="D160" s="247"/>
      <c r="E160" s="247"/>
      <c r="F160" s="247"/>
      <c r="G160" s="247"/>
      <c r="H160" s="247"/>
      <c r="I160" s="247"/>
      <c r="J160" s="247"/>
      <c r="K160" s="247"/>
      <c r="L160" s="247"/>
      <c r="M160" s="247"/>
      <c r="N160" s="247"/>
      <c r="O160" s="247"/>
      <c r="P160" s="248"/>
      <c r="Q160" s="194">
        <f t="shared" si="60"/>
        <v>0</v>
      </c>
    </row>
    <row r="161" spans="1:17" s="136" customFormat="1" ht="34.15" customHeight="1">
      <c r="A161" s="117">
        <v>7</v>
      </c>
      <c r="B161" s="65" t="s">
        <v>294</v>
      </c>
      <c r="C161" s="172" t="s">
        <v>293</v>
      </c>
      <c r="D161" s="123">
        <v>100</v>
      </c>
      <c r="E161" s="220">
        <v>1.48</v>
      </c>
      <c r="F161" s="73">
        <v>3.1</v>
      </c>
      <c r="G161" s="73">
        <v>8.65</v>
      </c>
      <c r="H161" s="72">
        <f t="shared" ref="H161:H167" si="67">Q161</f>
        <v>68.42</v>
      </c>
      <c r="I161" s="73">
        <v>0</v>
      </c>
      <c r="J161" s="73">
        <v>0.02</v>
      </c>
      <c r="K161" s="73">
        <v>9.83</v>
      </c>
      <c r="L161" s="73">
        <v>1.42</v>
      </c>
      <c r="M161" s="73">
        <v>42.53</v>
      </c>
      <c r="N161" s="73">
        <v>22</v>
      </c>
      <c r="O161" s="73">
        <v>43.59</v>
      </c>
      <c r="P161" s="195">
        <v>1.43</v>
      </c>
      <c r="Q161" s="194">
        <f t="shared" si="60"/>
        <v>68.42</v>
      </c>
    </row>
    <row r="162" spans="1:17" s="136" customFormat="1" ht="24" customHeight="1">
      <c r="A162" s="117">
        <v>7</v>
      </c>
      <c r="B162" s="171" t="s">
        <v>256</v>
      </c>
      <c r="C162" s="172" t="s">
        <v>295</v>
      </c>
      <c r="D162" s="123">
        <v>250</v>
      </c>
      <c r="E162" s="62">
        <v>1.1000000000000001</v>
      </c>
      <c r="F162" s="62">
        <v>1.1000000000000001</v>
      </c>
      <c r="G162" s="62">
        <v>4.8</v>
      </c>
      <c r="H162" s="72">
        <f t="shared" si="67"/>
        <v>33.5</v>
      </c>
      <c r="I162" s="62">
        <v>0</v>
      </c>
      <c r="J162" s="62">
        <v>0</v>
      </c>
      <c r="K162" s="62">
        <v>3.3</v>
      </c>
      <c r="L162" s="62">
        <v>0.5</v>
      </c>
      <c r="M162" s="62">
        <v>10.7</v>
      </c>
      <c r="N162" s="62">
        <v>9.1</v>
      </c>
      <c r="O162" s="62">
        <v>22.4</v>
      </c>
      <c r="P162" s="173">
        <v>0.4</v>
      </c>
      <c r="Q162" s="194">
        <f t="shared" si="60"/>
        <v>33.5</v>
      </c>
    </row>
    <row r="163" spans="1:17" s="136" customFormat="1" ht="21" customHeight="1">
      <c r="A163" s="117">
        <v>7</v>
      </c>
      <c r="B163" s="171" t="s">
        <v>259</v>
      </c>
      <c r="C163" s="174" t="s">
        <v>257</v>
      </c>
      <c r="D163" s="60">
        <v>100</v>
      </c>
      <c r="E163" s="220">
        <v>13.1</v>
      </c>
      <c r="F163" s="220">
        <v>15.4</v>
      </c>
      <c r="G163" s="73">
        <v>9.6999999999999993</v>
      </c>
      <c r="H163" s="72">
        <f t="shared" si="67"/>
        <v>229.8</v>
      </c>
      <c r="I163" s="110">
        <v>0</v>
      </c>
      <c r="J163" s="110">
        <v>0.1</v>
      </c>
      <c r="K163" s="110">
        <v>0</v>
      </c>
      <c r="L163" s="110">
        <v>3.4</v>
      </c>
      <c r="M163" s="110">
        <v>18.399999999999999</v>
      </c>
      <c r="N163" s="110">
        <v>15.1</v>
      </c>
      <c r="O163" s="110">
        <v>127.6</v>
      </c>
      <c r="P163" s="175">
        <v>1.4</v>
      </c>
      <c r="Q163" s="194">
        <f t="shared" si="60"/>
        <v>229.8</v>
      </c>
    </row>
    <row r="164" spans="1:17" ht="22.15" customHeight="1">
      <c r="A164" s="117"/>
      <c r="B164" s="176" t="s">
        <v>260</v>
      </c>
      <c r="C164" s="177" t="s">
        <v>258</v>
      </c>
      <c r="D164" s="60">
        <v>180</v>
      </c>
      <c r="E164" s="61">
        <v>1.79</v>
      </c>
      <c r="F164" s="216">
        <v>5.33</v>
      </c>
      <c r="G164" s="216">
        <v>10.56</v>
      </c>
      <c r="H164" s="72">
        <f t="shared" si="67"/>
        <v>97.37</v>
      </c>
      <c r="I164" s="61">
        <v>0.1</v>
      </c>
      <c r="J164" s="61">
        <v>23.25</v>
      </c>
      <c r="K164" s="61">
        <v>0</v>
      </c>
      <c r="L164" s="61">
        <v>4.4800000000000004</v>
      </c>
      <c r="M164" s="61">
        <v>24.4</v>
      </c>
      <c r="N164" s="61">
        <v>52.62</v>
      </c>
      <c r="O164" s="61">
        <v>22.91</v>
      </c>
      <c r="P164" s="178">
        <v>0.86</v>
      </c>
      <c r="Q164" s="194">
        <f t="shared" si="60"/>
        <v>97.37</v>
      </c>
    </row>
    <row r="165" spans="1:17" ht="37.5">
      <c r="A165" s="118">
        <v>7</v>
      </c>
      <c r="B165" s="78" t="s">
        <v>151</v>
      </c>
      <c r="C165" s="59" t="s">
        <v>49</v>
      </c>
      <c r="D165" s="123">
        <v>200</v>
      </c>
      <c r="E165" s="62">
        <v>0.08</v>
      </c>
      <c r="F165" s="62">
        <v>0.08</v>
      </c>
      <c r="G165" s="62">
        <v>9.94</v>
      </c>
      <c r="H165" s="72">
        <f t="shared" si="67"/>
        <v>40.799999999999997</v>
      </c>
      <c r="I165" s="62">
        <v>0.01</v>
      </c>
      <c r="J165" s="62">
        <v>0.45</v>
      </c>
      <c r="K165" s="62">
        <v>0</v>
      </c>
      <c r="L165" s="62">
        <v>0.04</v>
      </c>
      <c r="M165" s="62">
        <v>6.97</v>
      </c>
      <c r="N165" s="62">
        <v>2.2000000000000002</v>
      </c>
      <c r="O165" s="62">
        <v>2.57</v>
      </c>
      <c r="P165" s="143">
        <v>0.46800000000000003</v>
      </c>
      <c r="Q165" s="194">
        <f t="shared" si="60"/>
        <v>40.799999999999997</v>
      </c>
    </row>
    <row r="166" spans="1:17" ht="19.149999999999999" customHeight="1">
      <c r="A166" s="117">
        <v>7</v>
      </c>
      <c r="B166" s="65" t="s">
        <v>57</v>
      </c>
      <c r="C166" s="81" t="s">
        <v>20</v>
      </c>
      <c r="D166" s="68">
        <v>40</v>
      </c>
      <c r="E166" s="79">
        <v>7.6666666666666661</v>
      </c>
      <c r="F166" s="79">
        <v>0.66666666666666674</v>
      </c>
      <c r="G166" s="79">
        <v>49.333333333333336</v>
      </c>
      <c r="H166" s="72">
        <f t="shared" si="67"/>
        <v>234</v>
      </c>
      <c r="I166" s="79">
        <v>0</v>
      </c>
      <c r="J166" s="79">
        <v>0</v>
      </c>
      <c r="K166" s="79">
        <v>0</v>
      </c>
      <c r="L166" s="79">
        <v>1</v>
      </c>
      <c r="M166" s="79">
        <v>20</v>
      </c>
      <c r="N166" s="79">
        <v>65</v>
      </c>
      <c r="O166" s="79">
        <v>14.000000000000002</v>
      </c>
      <c r="P166" s="158">
        <v>1</v>
      </c>
      <c r="Q166" s="194">
        <f t="shared" si="60"/>
        <v>234</v>
      </c>
    </row>
    <row r="167" spans="1:17" ht="22.15" customHeight="1">
      <c r="A167" s="117">
        <v>7</v>
      </c>
      <c r="B167" s="121" t="s">
        <v>150</v>
      </c>
      <c r="C167" s="69" t="s">
        <v>21</v>
      </c>
      <c r="D167" s="60">
        <v>50</v>
      </c>
      <c r="E167" s="79">
        <v>6.5</v>
      </c>
      <c r="F167" s="80">
        <v>1.25</v>
      </c>
      <c r="G167" s="79">
        <v>39.5</v>
      </c>
      <c r="H167" s="72">
        <f t="shared" si="67"/>
        <v>195.25</v>
      </c>
      <c r="I167" s="80">
        <v>0.25</v>
      </c>
      <c r="J167" s="80">
        <v>0</v>
      </c>
      <c r="K167" s="80">
        <v>0</v>
      </c>
      <c r="L167" s="80">
        <v>1.5</v>
      </c>
      <c r="M167" s="80">
        <v>28.999999999999996</v>
      </c>
      <c r="N167" s="80">
        <v>150</v>
      </c>
      <c r="O167" s="80">
        <v>47</v>
      </c>
      <c r="P167" s="159">
        <v>4</v>
      </c>
      <c r="Q167" s="194">
        <f t="shared" si="60"/>
        <v>195.25</v>
      </c>
    </row>
    <row r="168" spans="1:17" ht="20.45" customHeight="1">
      <c r="A168" s="117">
        <v>7</v>
      </c>
      <c r="B168" s="121"/>
      <c r="C168" s="121" t="s">
        <v>18</v>
      </c>
      <c r="D168" s="123">
        <f>D161+D162+D163+D164+D165+D166+D167</f>
        <v>920</v>
      </c>
      <c r="E168" s="124">
        <f>SUM(E161:E167)</f>
        <v>31.716666666666661</v>
      </c>
      <c r="F168" s="124">
        <f t="shared" ref="F168:P168" si="68">SUM(F161:F167)</f>
        <v>26.926666666666666</v>
      </c>
      <c r="G168" s="124">
        <f t="shared" si="68"/>
        <v>132.48333333333335</v>
      </c>
      <c r="H168" s="124">
        <f t="shared" si="68"/>
        <v>899.1400000000001</v>
      </c>
      <c r="I168" s="124">
        <f t="shared" si="68"/>
        <v>0.36</v>
      </c>
      <c r="J168" s="124">
        <f t="shared" si="68"/>
        <v>23.82</v>
      </c>
      <c r="K168" s="124">
        <f t="shared" si="68"/>
        <v>13.129999999999999</v>
      </c>
      <c r="L168" s="124">
        <f t="shared" si="68"/>
        <v>12.34</v>
      </c>
      <c r="M168" s="124">
        <f t="shared" si="68"/>
        <v>152</v>
      </c>
      <c r="N168" s="124">
        <f t="shared" si="68"/>
        <v>316.02</v>
      </c>
      <c r="O168" s="124">
        <f t="shared" si="68"/>
        <v>280.07</v>
      </c>
      <c r="P168" s="124">
        <f t="shared" si="68"/>
        <v>9.5579999999999998</v>
      </c>
      <c r="Q168" s="194">
        <f t="shared" si="60"/>
        <v>899.1400000000001</v>
      </c>
    </row>
    <row r="169" spans="1:17" ht="18.75">
      <c r="A169" s="117">
        <v>7</v>
      </c>
      <c r="B169" s="247" t="s">
        <v>22</v>
      </c>
      <c r="C169" s="247"/>
      <c r="D169" s="247"/>
      <c r="E169" s="247"/>
      <c r="F169" s="247"/>
      <c r="G169" s="247"/>
      <c r="H169" s="247"/>
      <c r="I169" s="247"/>
      <c r="J169" s="247"/>
      <c r="K169" s="247"/>
      <c r="L169" s="247"/>
      <c r="M169" s="247"/>
      <c r="N169" s="247"/>
      <c r="O169" s="247"/>
      <c r="P169" s="248"/>
      <c r="Q169" s="194">
        <f t="shared" si="60"/>
        <v>0</v>
      </c>
    </row>
    <row r="170" spans="1:17" ht="37.5">
      <c r="A170" s="117">
        <v>7</v>
      </c>
      <c r="B170" s="65" t="s">
        <v>166</v>
      </c>
      <c r="C170" s="81" t="s">
        <v>50</v>
      </c>
      <c r="D170" s="68">
        <v>200</v>
      </c>
      <c r="E170" s="61">
        <v>8.4499999999999993</v>
      </c>
      <c r="F170" s="61">
        <v>12.95</v>
      </c>
      <c r="G170" s="61">
        <v>2.1</v>
      </c>
      <c r="H170" s="61">
        <f>Q170</f>
        <v>158.75</v>
      </c>
      <c r="I170" s="61">
        <v>0.04</v>
      </c>
      <c r="J170" s="61">
        <v>0.2</v>
      </c>
      <c r="K170" s="61">
        <v>0.13</v>
      </c>
      <c r="L170" s="61">
        <v>0.25</v>
      </c>
      <c r="M170" s="61">
        <v>72</v>
      </c>
      <c r="N170" s="61">
        <v>134.5</v>
      </c>
      <c r="O170" s="61">
        <v>11</v>
      </c>
      <c r="P170" s="173">
        <v>1.4</v>
      </c>
      <c r="Q170" s="194">
        <f t="shared" si="60"/>
        <v>158.75</v>
      </c>
    </row>
    <row r="171" spans="1:17" ht="18.75">
      <c r="A171" s="117">
        <v>1</v>
      </c>
      <c r="B171" s="65" t="s">
        <v>57</v>
      </c>
      <c r="C171" s="81" t="s">
        <v>20</v>
      </c>
      <c r="D171" s="68">
        <v>40</v>
      </c>
      <c r="E171" s="79">
        <v>7.6666666666666661</v>
      </c>
      <c r="F171" s="79">
        <v>0.66666666666666674</v>
      </c>
      <c r="G171" s="79">
        <v>49.333333333333336</v>
      </c>
      <c r="H171" s="61">
        <f t="shared" ref="H171:H172" si="69">Q171</f>
        <v>234</v>
      </c>
      <c r="I171" s="79">
        <v>0</v>
      </c>
      <c r="J171" s="79">
        <v>0</v>
      </c>
      <c r="K171" s="79">
        <v>0</v>
      </c>
      <c r="L171" s="79">
        <v>1</v>
      </c>
      <c r="M171" s="79">
        <v>20</v>
      </c>
      <c r="N171" s="79">
        <v>65</v>
      </c>
      <c r="O171" s="79">
        <v>14.000000000000002</v>
      </c>
      <c r="P171" s="158">
        <v>1</v>
      </c>
      <c r="Q171" s="194">
        <f t="shared" si="60"/>
        <v>234</v>
      </c>
    </row>
    <row r="172" spans="1:17" ht="24" customHeight="1">
      <c r="A172" s="117">
        <v>7</v>
      </c>
      <c r="B172" s="65" t="s">
        <v>192</v>
      </c>
      <c r="C172" s="83" t="s">
        <v>26</v>
      </c>
      <c r="D172" s="68">
        <v>200</v>
      </c>
      <c r="E172" s="61">
        <v>0.04</v>
      </c>
      <c r="F172" s="62">
        <v>0.01</v>
      </c>
      <c r="G172" s="61">
        <v>7.5</v>
      </c>
      <c r="H172" s="61">
        <f t="shared" si="69"/>
        <v>30.25</v>
      </c>
      <c r="I172" s="62">
        <v>0</v>
      </c>
      <c r="J172" s="62">
        <v>0</v>
      </c>
      <c r="K172" s="62">
        <v>0.02</v>
      </c>
      <c r="L172" s="62">
        <v>0</v>
      </c>
      <c r="M172" s="62">
        <v>5.55</v>
      </c>
      <c r="N172" s="62">
        <v>0.7</v>
      </c>
      <c r="O172" s="62">
        <v>1.4</v>
      </c>
      <c r="P172" s="143">
        <v>0.14000000000000001</v>
      </c>
      <c r="Q172" s="194">
        <f t="shared" si="60"/>
        <v>30.25</v>
      </c>
    </row>
    <row r="173" spans="1:17" ht="18.75">
      <c r="A173" s="117">
        <v>7</v>
      </c>
      <c r="B173" s="65"/>
      <c r="C173" s="65" t="s">
        <v>18</v>
      </c>
      <c r="D173" s="68">
        <f>SUM(D170:D172)</f>
        <v>440</v>
      </c>
      <c r="E173" s="120">
        <f>SUM(E170:E172)</f>
        <v>16.156666666666666</v>
      </c>
      <c r="F173" s="120">
        <f t="shared" ref="F173:P173" si="70">SUM(F170:F172)</f>
        <v>13.626666666666665</v>
      </c>
      <c r="G173" s="120">
        <f t="shared" si="70"/>
        <v>58.933333333333337</v>
      </c>
      <c r="H173" s="120">
        <f t="shared" si="70"/>
        <v>423</v>
      </c>
      <c r="I173" s="120">
        <f t="shared" si="70"/>
        <v>0.04</v>
      </c>
      <c r="J173" s="120">
        <f t="shared" si="70"/>
        <v>0.2</v>
      </c>
      <c r="K173" s="120">
        <f t="shared" si="70"/>
        <v>0.15</v>
      </c>
      <c r="L173" s="120">
        <f t="shared" si="70"/>
        <v>1.25</v>
      </c>
      <c r="M173" s="120">
        <f t="shared" si="70"/>
        <v>97.55</v>
      </c>
      <c r="N173" s="120">
        <f t="shared" si="70"/>
        <v>200.2</v>
      </c>
      <c r="O173" s="120">
        <f t="shared" si="70"/>
        <v>26.4</v>
      </c>
      <c r="P173" s="145">
        <f t="shared" si="70"/>
        <v>2.54</v>
      </c>
      <c r="Q173" s="194">
        <f t="shared" si="60"/>
        <v>423</v>
      </c>
    </row>
    <row r="174" spans="1:17" ht="18.75">
      <c r="A174" s="117">
        <v>7</v>
      </c>
      <c r="B174" s="65"/>
      <c r="C174" s="65" t="s">
        <v>31</v>
      </c>
      <c r="D174" s="68">
        <f>D173+D168+D159</f>
        <v>1835</v>
      </c>
      <c r="E174" s="120">
        <f>E159+E168+E173</f>
        <v>88.073333333333323</v>
      </c>
      <c r="F174" s="120">
        <f t="shared" ref="F174:P174" si="71">F159+F168+F173</f>
        <v>76.533333333333331</v>
      </c>
      <c r="G174" s="120">
        <f t="shared" si="71"/>
        <v>268.28666666666669</v>
      </c>
      <c r="H174" s="120">
        <f t="shared" si="71"/>
        <v>2114.2400000000002</v>
      </c>
      <c r="I174" s="120">
        <f t="shared" si="71"/>
        <v>0.97000000000000008</v>
      </c>
      <c r="J174" s="120">
        <f t="shared" si="71"/>
        <v>29.93</v>
      </c>
      <c r="K174" s="120">
        <f t="shared" si="71"/>
        <v>13.459999999999999</v>
      </c>
      <c r="L174" s="120">
        <f t="shared" si="71"/>
        <v>16.89</v>
      </c>
      <c r="M174" s="120">
        <f t="shared" si="71"/>
        <v>889.6</v>
      </c>
      <c r="N174" s="120">
        <f>N159+N168+N173</f>
        <v>1143.75</v>
      </c>
      <c r="O174" s="120">
        <f t="shared" si="71"/>
        <v>382.85999999999996</v>
      </c>
      <c r="P174" s="120">
        <f t="shared" si="71"/>
        <v>16.678000000000001</v>
      </c>
      <c r="Q174" s="194">
        <f t="shared" si="60"/>
        <v>2114.2399999999998</v>
      </c>
    </row>
    <row r="175" spans="1:17" ht="18.75">
      <c r="A175" s="117">
        <v>7</v>
      </c>
      <c r="B175" s="247" t="s">
        <v>17</v>
      </c>
      <c r="C175" s="247"/>
      <c r="D175" s="247"/>
      <c r="E175" s="247"/>
      <c r="F175" s="247"/>
      <c r="G175" s="247"/>
      <c r="H175" s="247"/>
      <c r="I175" s="247"/>
      <c r="J175" s="247"/>
      <c r="K175" s="247"/>
      <c r="L175" s="247"/>
      <c r="M175" s="247"/>
      <c r="N175" s="247"/>
      <c r="O175" s="247"/>
      <c r="P175" s="248"/>
      <c r="Q175" s="194">
        <f t="shared" si="60"/>
        <v>0</v>
      </c>
    </row>
    <row r="176" spans="1:17" ht="37.5">
      <c r="A176" s="117">
        <v>7</v>
      </c>
      <c r="B176" s="65" t="s">
        <v>155</v>
      </c>
      <c r="C176" s="81" t="s">
        <v>261</v>
      </c>
      <c r="D176" s="68">
        <v>210</v>
      </c>
      <c r="E176" s="53">
        <v>5.94</v>
      </c>
      <c r="F176" s="53">
        <v>4.8600000000000003</v>
      </c>
      <c r="G176" s="53">
        <v>21.4</v>
      </c>
      <c r="H176" s="53">
        <f>Q176</f>
        <v>153.1</v>
      </c>
      <c r="I176" s="53">
        <v>7.0000000000000007E-2</v>
      </c>
      <c r="J176" s="53">
        <v>1.1599999999999999</v>
      </c>
      <c r="K176" s="53">
        <v>0.04</v>
      </c>
      <c r="L176" s="53">
        <v>1.31</v>
      </c>
      <c r="M176" s="53">
        <v>48</v>
      </c>
      <c r="N176" s="53">
        <v>61.3</v>
      </c>
      <c r="O176" s="53">
        <v>14.5</v>
      </c>
      <c r="P176" s="205">
        <v>17.55</v>
      </c>
      <c r="Q176" s="194">
        <f t="shared" si="60"/>
        <v>153.1</v>
      </c>
    </row>
    <row r="177" spans="1:17" ht="37.5">
      <c r="A177" s="117">
        <v>8</v>
      </c>
      <c r="B177" s="121"/>
      <c r="C177" s="81" t="s">
        <v>193</v>
      </c>
      <c r="D177" s="68">
        <v>40</v>
      </c>
      <c r="E177" s="61">
        <v>3.3</v>
      </c>
      <c r="F177" s="62">
        <v>3.9</v>
      </c>
      <c r="G177" s="61">
        <v>20.94</v>
      </c>
      <c r="H177" s="53">
        <f t="shared" ref="H177:H178" si="72">Q177</f>
        <v>132.06</v>
      </c>
      <c r="I177" s="62">
        <v>0.02</v>
      </c>
      <c r="J177" s="62">
        <v>0.05</v>
      </c>
      <c r="K177" s="62">
        <v>0.06</v>
      </c>
      <c r="L177" s="62">
        <v>2.52</v>
      </c>
      <c r="M177" s="62">
        <v>18.420000000000002</v>
      </c>
      <c r="N177" s="62">
        <v>34.42</v>
      </c>
      <c r="O177" s="62">
        <v>3.84</v>
      </c>
      <c r="P177" s="143">
        <v>0.42</v>
      </c>
      <c r="Q177" s="194">
        <f t="shared" si="60"/>
        <v>132.06</v>
      </c>
    </row>
    <row r="178" spans="1:17" ht="18.75">
      <c r="A178" s="117">
        <v>8</v>
      </c>
      <c r="B178" s="121" t="s">
        <v>189</v>
      </c>
      <c r="C178" s="81" t="s">
        <v>262</v>
      </c>
      <c r="D178" s="68">
        <v>200</v>
      </c>
      <c r="E178" s="51">
        <v>7.0000000000000007E-2</v>
      </c>
      <c r="F178" s="51">
        <v>0.01</v>
      </c>
      <c r="G178" s="51">
        <v>7.6</v>
      </c>
      <c r="H178" s="53">
        <f t="shared" si="72"/>
        <v>30.77</v>
      </c>
      <c r="I178" s="51">
        <v>0</v>
      </c>
      <c r="J178" s="51">
        <v>1.42</v>
      </c>
      <c r="K178" s="51">
        <v>0</v>
      </c>
      <c r="L178" s="51">
        <v>0.01</v>
      </c>
      <c r="M178" s="51">
        <v>7.1</v>
      </c>
      <c r="N178" s="51">
        <v>2.2000000000000002</v>
      </c>
      <c r="O178" s="51">
        <v>1.2</v>
      </c>
      <c r="P178" s="205">
        <v>0.18</v>
      </c>
      <c r="Q178" s="194">
        <f t="shared" si="60"/>
        <v>30.77</v>
      </c>
    </row>
    <row r="179" spans="1:17" ht="15" customHeight="1">
      <c r="A179" s="117">
        <v>8</v>
      </c>
      <c r="B179" s="121"/>
      <c r="C179" s="121" t="s">
        <v>18</v>
      </c>
      <c r="D179" s="123">
        <f t="shared" ref="D179:P179" si="73">D176+D177+D178</f>
        <v>450</v>
      </c>
      <c r="E179" s="124">
        <f t="shared" si="73"/>
        <v>9.31</v>
      </c>
      <c r="F179" s="124">
        <f t="shared" si="73"/>
        <v>8.77</v>
      </c>
      <c r="G179" s="124">
        <f t="shared" si="73"/>
        <v>49.940000000000005</v>
      </c>
      <c r="H179" s="124">
        <f t="shared" si="73"/>
        <v>315.92999999999995</v>
      </c>
      <c r="I179" s="124">
        <f t="shared" si="73"/>
        <v>9.0000000000000011E-2</v>
      </c>
      <c r="J179" s="124">
        <f t="shared" si="73"/>
        <v>2.63</v>
      </c>
      <c r="K179" s="124">
        <f t="shared" si="73"/>
        <v>0.1</v>
      </c>
      <c r="L179" s="124">
        <f t="shared" si="73"/>
        <v>3.84</v>
      </c>
      <c r="M179" s="124">
        <f t="shared" si="73"/>
        <v>73.52</v>
      </c>
      <c r="N179" s="124">
        <f t="shared" si="73"/>
        <v>97.92</v>
      </c>
      <c r="O179" s="124">
        <f t="shared" si="73"/>
        <v>19.54</v>
      </c>
      <c r="P179" s="124">
        <f t="shared" si="73"/>
        <v>18.150000000000002</v>
      </c>
      <c r="Q179" s="194">
        <f t="shared" si="60"/>
        <v>315.93</v>
      </c>
    </row>
    <row r="180" spans="1:17" ht="18.75">
      <c r="A180" s="117">
        <v>8</v>
      </c>
      <c r="B180" s="247" t="s">
        <v>19</v>
      </c>
      <c r="C180" s="247"/>
      <c r="D180" s="247"/>
      <c r="E180" s="247"/>
      <c r="F180" s="247"/>
      <c r="G180" s="247"/>
      <c r="H180" s="247"/>
      <c r="I180" s="247"/>
      <c r="J180" s="247"/>
      <c r="K180" s="247"/>
      <c r="L180" s="247"/>
      <c r="M180" s="247"/>
      <c r="N180" s="247"/>
      <c r="O180" s="247"/>
      <c r="P180" s="248"/>
      <c r="Q180" s="194">
        <f t="shared" si="60"/>
        <v>0</v>
      </c>
    </row>
    <row r="181" spans="1:17" ht="18.75">
      <c r="A181" s="117">
        <v>8</v>
      </c>
      <c r="B181" s="184" t="s">
        <v>265</v>
      </c>
      <c r="C181" s="179" t="s">
        <v>263</v>
      </c>
      <c r="D181" s="60">
        <v>100</v>
      </c>
      <c r="E181" s="72">
        <v>0.8</v>
      </c>
      <c r="F181" s="72">
        <v>0.1</v>
      </c>
      <c r="G181" s="72">
        <v>1.7</v>
      </c>
      <c r="H181" s="72">
        <f>Q181</f>
        <v>10.9</v>
      </c>
      <c r="I181" s="72">
        <v>0.02</v>
      </c>
      <c r="J181" s="72">
        <v>5</v>
      </c>
      <c r="K181" s="72">
        <v>0</v>
      </c>
      <c r="L181" s="72">
        <v>0.1</v>
      </c>
      <c r="M181" s="72">
        <v>23</v>
      </c>
      <c r="N181" s="72">
        <v>24</v>
      </c>
      <c r="O181" s="72">
        <v>14</v>
      </c>
      <c r="P181" s="182">
        <v>0.6</v>
      </c>
      <c r="Q181" s="194">
        <f t="shared" si="60"/>
        <v>10.9</v>
      </c>
    </row>
    <row r="182" spans="1:17" ht="18.75">
      <c r="A182" s="117">
        <v>8</v>
      </c>
      <c r="B182" s="184" t="s">
        <v>266</v>
      </c>
      <c r="C182" s="179" t="s">
        <v>264</v>
      </c>
      <c r="D182" s="60">
        <v>100</v>
      </c>
      <c r="E182" s="72">
        <v>1.1000000000000001</v>
      </c>
      <c r="F182" s="72">
        <v>0.1</v>
      </c>
      <c r="G182" s="72">
        <v>3.5</v>
      </c>
      <c r="H182" s="72">
        <f t="shared" ref="H182:H183" si="74">Q182</f>
        <v>19.3</v>
      </c>
      <c r="I182" s="72">
        <v>0.01</v>
      </c>
      <c r="J182" s="72">
        <v>15</v>
      </c>
      <c r="K182" s="72">
        <v>0</v>
      </c>
      <c r="L182" s="72">
        <v>0.7</v>
      </c>
      <c r="M182" s="72">
        <v>10</v>
      </c>
      <c r="N182" s="72">
        <v>35</v>
      </c>
      <c r="O182" s="72">
        <v>15</v>
      </c>
      <c r="P182" s="182">
        <v>0.8</v>
      </c>
      <c r="Q182" s="194">
        <f t="shared" si="60"/>
        <v>19.3</v>
      </c>
    </row>
    <row r="183" spans="1:17" ht="18.75">
      <c r="A183" s="117">
        <v>8</v>
      </c>
      <c r="B183" s="168"/>
      <c r="C183" s="179" t="s">
        <v>95</v>
      </c>
      <c r="D183" s="60">
        <f>(D182+D181)/2</f>
        <v>100</v>
      </c>
      <c r="E183" s="180">
        <f>(E182+E181)/2</f>
        <v>0.95000000000000007</v>
      </c>
      <c r="F183" s="180">
        <f t="shared" ref="F183:P183" si="75">(F182+F181)/2</f>
        <v>0.1</v>
      </c>
      <c r="G183" s="180">
        <f t="shared" si="75"/>
        <v>2.6</v>
      </c>
      <c r="H183" s="72">
        <f t="shared" si="74"/>
        <v>15.100000000000001</v>
      </c>
      <c r="I183" s="180">
        <f t="shared" si="75"/>
        <v>1.4999999999999999E-2</v>
      </c>
      <c r="J183" s="180">
        <f t="shared" si="75"/>
        <v>10</v>
      </c>
      <c r="K183" s="180">
        <f t="shared" si="75"/>
        <v>0</v>
      </c>
      <c r="L183" s="180">
        <f t="shared" si="75"/>
        <v>0.39999999999999997</v>
      </c>
      <c r="M183" s="180">
        <f t="shared" si="75"/>
        <v>16.5</v>
      </c>
      <c r="N183" s="180">
        <f t="shared" si="75"/>
        <v>29.5</v>
      </c>
      <c r="O183" s="180">
        <f t="shared" si="75"/>
        <v>14.5</v>
      </c>
      <c r="P183" s="181">
        <f t="shared" si="75"/>
        <v>0.7</v>
      </c>
      <c r="Q183" s="194">
        <f t="shared" si="60"/>
        <v>15.100000000000001</v>
      </c>
    </row>
    <row r="184" spans="1:17" ht="34.9" customHeight="1">
      <c r="A184" s="117">
        <v>8</v>
      </c>
      <c r="B184" s="168" t="s">
        <v>159</v>
      </c>
      <c r="C184" s="179" t="s">
        <v>267</v>
      </c>
      <c r="D184" s="68">
        <v>260</v>
      </c>
      <c r="E184" s="61">
        <f>(E185*2.6+E186*0.1)/2.6</f>
        <v>0.89999999999999991</v>
      </c>
      <c r="F184" s="61">
        <v>3.58</v>
      </c>
      <c r="G184" s="61">
        <f t="shared" ref="G184:P184" si="76">(G185*2.6+G186*0.1)/2.6</f>
        <v>6.7384615384615385</v>
      </c>
      <c r="H184" s="61">
        <f>Q184</f>
        <v>62.773846153846151</v>
      </c>
      <c r="I184" s="61">
        <f t="shared" si="76"/>
        <v>1.1538461538461537E-3</v>
      </c>
      <c r="J184" s="61">
        <f t="shared" si="76"/>
        <v>1.5384615384615387E-2</v>
      </c>
      <c r="K184" s="61">
        <f t="shared" si="76"/>
        <v>6.8461538461538458</v>
      </c>
      <c r="L184" s="61">
        <f t="shared" si="76"/>
        <v>1.1230769230769231</v>
      </c>
      <c r="M184" s="61">
        <f t="shared" si="76"/>
        <v>10.615384615384615</v>
      </c>
      <c r="N184" s="61">
        <f t="shared" si="76"/>
        <v>12.746153846153845</v>
      </c>
      <c r="O184" s="61">
        <f t="shared" si="76"/>
        <v>29.146153846153851</v>
      </c>
      <c r="P184" s="183">
        <f t="shared" si="76"/>
        <v>0.40769230769230769</v>
      </c>
      <c r="Q184" s="194">
        <f t="shared" si="60"/>
        <v>62.773846153846151</v>
      </c>
    </row>
    <row r="185" spans="1:17" ht="19.149999999999999" customHeight="1">
      <c r="A185" s="117">
        <v>8</v>
      </c>
      <c r="B185" s="168"/>
      <c r="C185" s="179" t="s">
        <v>206</v>
      </c>
      <c r="D185" s="68">
        <v>250</v>
      </c>
      <c r="E185" s="61">
        <v>0.8</v>
      </c>
      <c r="F185" s="61">
        <v>2</v>
      </c>
      <c r="G185" s="61">
        <v>6.6</v>
      </c>
      <c r="H185" s="61">
        <f t="shared" ref="H185:H193" si="77">Q185</f>
        <v>47.599999999999994</v>
      </c>
      <c r="I185" s="61">
        <v>0</v>
      </c>
      <c r="J185" s="61">
        <v>0</v>
      </c>
      <c r="K185" s="61">
        <v>3</v>
      </c>
      <c r="L185" s="61">
        <v>1</v>
      </c>
      <c r="M185" s="61">
        <v>10.6</v>
      </c>
      <c r="N185" s="61">
        <v>10.4</v>
      </c>
      <c r="O185" s="61">
        <v>28.8</v>
      </c>
      <c r="P185" s="178">
        <v>0.4</v>
      </c>
      <c r="Q185" s="194">
        <f t="shared" si="60"/>
        <v>47.599999999999994</v>
      </c>
    </row>
    <row r="186" spans="1:17" ht="19.149999999999999" customHeight="1">
      <c r="A186" s="117">
        <v>8</v>
      </c>
      <c r="B186" s="168"/>
      <c r="C186" s="179" t="s">
        <v>222</v>
      </c>
      <c r="D186" s="68">
        <v>10</v>
      </c>
      <c r="E186" s="61">
        <v>2.6</v>
      </c>
      <c r="F186" s="61">
        <v>15</v>
      </c>
      <c r="G186" s="61">
        <v>3.6</v>
      </c>
      <c r="H186" s="61">
        <f t="shared" si="77"/>
        <v>159.80000000000001</v>
      </c>
      <c r="I186" s="61">
        <v>0.03</v>
      </c>
      <c r="J186" s="61">
        <v>0.4</v>
      </c>
      <c r="K186" s="61">
        <v>100</v>
      </c>
      <c r="L186" s="61">
        <v>3.2</v>
      </c>
      <c r="M186" s="61">
        <v>0.4</v>
      </c>
      <c r="N186" s="61">
        <v>61</v>
      </c>
      <c r="O186" s="61">
        <v>9</v>
      </c>
      <c r="P186" s="142">
        <v>0.2</v>
      </c>
      <c r="Q186" s="194">
        <f t="shared" si="60"/>
        <v>159.80000000000001</v>
      </c>
    </row>
    <row r="187" spans="1:17" ht="25.9" customHeight="1">
      <c r="A187" s="117">
        <v>8</v>
      </c>
      <c r="B187" s="90" t="s">
        <v>207</v>
      </c>
      <c r="C187" s="59" t="s">
        <v>174</v>
      </c>
      <c r="D187" s="128">
        <v>260</v>
      </c>
      <c r="E187" s="225">
        <v>7.07</v>
      </c>
      <c r="F187" s="225">
        <v>8.09</v>
      </c>
      <c r="G187" s="72">
        <f t="shared" ref="G187" si="78">(G188*0.8+G189*1.5)/2.3</f>
        <v>12.695652173913047</v>
      </c>
      <c r="H187" s="72">
        <f t="shared" ref="H187" si="79">(H188*0.8+H189*1.5)/2.3</f>
        <v>160.5826086956522</v>
      </c>
      <c r="I187" s="72">
        <f t="shared" ref="I187" si="80">(I188*0.8+I189*1.5)/2.3</f>
        <v>3.4782608695652181E-2</v>
      </c>
      <c r="J187" s="72">
        <f t="shared" ref="J187" si="81">(J188*0.8+J189*1.5)/2.3</f>
        <v>0.34782608695652178</v>
      </c>
      <c r="K187" s="72">
        <f t="shared" ref="K187" si="82">(K188*0.8+K189*1.5)/2.3</f>
        <v>0</v>
      </c>
      <c r="L187" s="72">
        <f t="shared" ref="L187" si="83">(L188*0.8+L189*1.5)/2.3</f>
        <v>0.97826086956521752</v>
      </c>
      <c r="M187" s="72">
        <f t="shared" ref="M187" si="84">(M188*0.8+M189*1.5)/2.3</f>
        <v>10.956521739130437</v>
      </c>
      <c r="N187" s="72">
        <f t="shared" ref="N187" si="85">(N188*0.8+N189*1.5)/2.3</f>
        <v>18.343478260869567</v>
      </c>
      <c r="O187" s="72">
        <f t="shared" ref="O187" si="86">(O188*0.8+O189*1.5)/2.3</f>
        <v>78.573913043478285</v>
      </c>
      <c r="P187" s="72">
        <f t="shared" ref="P187" si="87">(P188*0.8+P189*1.5)/2.3</f>
        <v>1.1869565217391305</v>
      </c>
      <c r="Q187" s="194">
        <f t="shared" si="60"/>
        <v>151.87260869565219</v>
      </c>
    </row>
    <row r="188" spans="1:17" ht="24.6" customHeight="1">
      <c r="A188" s="117">
        <v>8</v>
      </c>
      <c r="B188" s="90"/>
      <c r="C188" s="59" t="s">
        <v>180</v>
      </c>
      <c r="D188" s="68">
        <v>80</v>
      </c>
      <c r="E188" s="73">
        <v>17.7</v>
      </c>
      <c r="F188" s="73">
        <v>18.5</v>
      </c>
      <c r="G188" s="73">
        <v>3.5</v>
      </c>
      <c r="H188" s="93">
        <f t="shared" ref="H188:H189" si="88">Q188</f>
        <v>251.3</v>
      </c>
      <c r="I188" s="110">
        <v>0.1</v>
      </c>
      <c r="J188" s="110">
        <v>1</v>
      </c>
      <c r="K188" s="110">
        <v>0</v>
      </c>
      <c r="L188" s="110">
        <v>1.5</v>
      </c>
      <c r="M188" s="110">
        <v>25.5</v>
      </c>
      <c r="N188" s="110">
        <v>26.3</v>
      </c>
      <c r="O188" s="110">
        <v>179.4</v>
      </c>
      <c r="P188" s="150">
        <v>2.1</v>
      </c>
      <c r="Q188" s="194">
        <f t="shared" si="60"/>
        <v>251.3</v>
      </c>
    </row>
    <row r="189" spans="1:17" ht="24.6" customHeight="1">
      <c r="A189" s="117">
        <v>8</v>
      </c>
      <c r="B189" s="90"/>
      <c r="C189" s="59" t="s">
        <v>208</v>
      </c>
      <c r="D189" s="68">
        <v>150</v>
      </c>
      <c r="E189" s="73">
        <v>3.7</v>
      </c>
      <c r="F189" s="73">
        <v>3</v>
      </c>
      <c r="G189" s="73">
        <v>17.600000000000001</v>
      </c>
      <c r="H189" s="93">
        <f t="shared" si="88"/>
        <v>112.2</v>
      </c>
      <c r="I189" s="110">
        <v>0</v>
      </c>
      <c r="J189" s="110">
        <v>0</v>
      </c>
      <c r="K189" s="110">
        <v>0</v>
      </c>
      <c r="L189" s="110">
        <v>0.7</v>
      </c>
      <c r="M189" s="110">
        <v>3.2</v>
      </c>
      <c r="N189" s="110">
        <v>14.1</v>
      </c>
      <c r="O189" s="110">
        <v>24.8</v>
      </c>
      <c r="P189" s="150">
        <v>0.7</v>
      </c>
      <c r="Q189" s="194">
        <f t="shared" si="60"/>
        <v>112.2</v>
      </c>
    </row>
    <row r="190" spans="1:17" ht="18.75">
      <c r="A190" s="117">
        <v>8</v>
      </c>
      <c r="B190" s="90" t="s">
        <v>269</v>
      </c>
      <c r="C190" s="59" t="s">
        <v>268</v>
      </c>
      <c r="D190" s="68">
        <v>200</v>
      </c>
      <c r="E190" s="62">
        <v>0.5</v>
      </c>
      <c r="F190" s="62">
        <v>0</v>
      </c>
      <c r="G190" s="62">
        <v>10.1</v>
      </c>
      <c r="H190" s="61">
        <f t="shared" si="77"/>
        <v>42.4</v>
      </c>
      <c r="I190" s="62">
        <v>0.02</v>
      </c>
      <c r="J190" s="62">
        <v>4</v>
      </c>
      <c r="K190" s="62">
        <v>0</v>
      </c>
      <c r="L190" s="62">
        <v>0.2</v>
      </c>
      <c r="M190" s="62">
        <v>18.600000000000001</v>
      </c>
      <c r="N190" s="62">
        <v>14</v>
      </c>
      <c r="O190" s="62">
        <v>10.6</v>
      </c>
      <c r="P190" s="173">
        <v>2.8</v>
      </c>
      <c r="Q190" s="194">
        <f t="shared" si="60"/>
        <v>42.4</v>
      </c>
    </row>
    <row r="191" spans="1:17" ht="18.75">
      <c r="A191" s="117">
        <v>8</v>
      </c>
      <c r="B191" s="121" t="s">
        <v>149</v>
      </c>
      <c r="C191" s="57" t="s">
        <v>55</v>
      </c>
      <c r="D191" s="123">
        <v>200</v>
      </c>
      <c r="E191" s="63">
        <v>0.14000000000000001</v>
      </c>
      <c r="F191" s="63">
        <v>0.05</v>
      </c>
      <c r="G191" s="63">
        <v>14.44</v>
      </c>
      <c r="H191" s="61">
        <f t="shared" si="77"/>
        <v>58.769999999999996</v>
      </c>
      <c r="I191" s="63">
        <v>0</v>
      </c>
      <c r="J191" s="63">
        <v>9.65</v>
      </c>
      <c r="K191" s="63">
        <v>0</v>
      </c>
      <c r="L191" s="63">
        <v>0.08</v>
      </c>
      <c r="M191" s="63">
        <v>6.83</v>
      </c>
      <c r="N191" s="63">
        <v>3.69</v>
      </c>
      <c r="O191" s="63">
        <v>2.89</v>
      </c>
      <c r="P191" s="151">
        <v>0.23400000000000001</v>
      </c>
      <c r="Q191" s="194">
        <f t="shared" si="60"/>
        <v>58.769999999999996</v>
      </c>
    </row>
    <row r="192" spans="1:17" ht="18.75">
      <c r="A192" s="117">
        <v>8</v>
      </c>
      <c r="B192" s="65" t="s">
        <v>57</v>
      </c>
      <c r="C192" s="81" t="s">
        <v>20</v>
      </c>
      <c r="D192" s="68">
        <v>40</v>
      </c>
      <c r="E192" s="79">
        <v>7.6666666666666661</v>
      </c>
      <c r="F192" s="79">
        <v>0.66666666666666674</v>
      </c>
      <c r="G192" s="79">
        <v>49.333333333333336</v>
      </c>
      <c r="H192" s="61">
        <f t="shared" si="77"/>
        <v>234</v>
      </c>
      <c r="I192" s="79">
        <v>0</v>
      </c>
      <c r="J192" s="79">
        <v>0</v>
      </c>
      <c r="K192" s="79">
        <v>0</v>
      </c>
      <c r="L192" s="79">
        <v>1</v>
      </c>
      <c r="M192" s="79">
        <v>20</v>
      </c>
      <c r="N192" s="79">
        <v>65</v>
      </c>
      <c r="O192" s="79">
        <v>14.000000000000002</v>
      </c>
      <c r="P192" s="158">
        <v>1</v>
      </c>
      <c r="Q192" s="194">
        <f t="shared" si="60"/>
        <v>234</v>
      </c>
    </row>
    <row r="193" spans="1:17" ht="16.5" customHeight="1">
      <c r="A193" s="117">
        <v>8</v>
      </c>
      <c r="B193" s="121" t="s">
        <v>150</v>
      </c>
      <c r="C193" s="69" t="s">
        <v>21</v>
      </c>
      <c r="D193" s="60">
        <v>50</v>
      </c>
      <c r="E193" s="79">
        <v>6.5</v>
      </c>
      <c r="F193" s="80">
        <v>1.25</v>
      </c>
      <c r="G193" s="79">
        <v>39.5</v>
      </c>
      <c r="H193" s="61">
        <f t="shared" si="77"/>
        <v>195.25</v>
      </c>
      <c r="I193" s="80">
        <v>0.25</v>
      </c>
      <c r="J193" s="80">
        <v>0</v>
      </c>
      <c r="K193" s="80">
        <v>0</v>
      </c>
      <c r="L193" s="80">
        <v>1.5</v>
      </c>
      <c r="M193" s="80">
        <v>28.999999999999996</v>
      </c>
      <c r="N193" s="80">
        <v>150</v>
      </c>
      <c r="O193" s="80">
        <v>47</v>
      </c>
      <c r="P193" s="159">
        <v>4</v>
      </c>
      <c r="Q193" s="194">
        <f t="shared" si="60"/>
        <v>195.25</v>
      </c>
    </row>
    <row r="194" spans="1:17" ht="18.75">
      <c r="A194" s="117">
        <v>8</v>
      </c>
      <c r="B194" s="121"/>
      <c r="C194" s="121" t="s">
        <v>18</v>
      </c>
      <c r="D194" s="60">
        <f>D183+D184+D187+D191+D192+D193</f>
        <v>910</v>
      </c>
      <c r="E194" s="124">
        <f>E183+E184+E187+E191+E192+E193+E190</f>
        <v>23.726666666666667</v>
      </c>
      <c r="F194" s="124">
        <f t="shared" ref="F194:P194" si="89">F183+F184+F187+F191+F192+F193+F190</f>
        <v>13.736666666666666</v>
      </c>
      <c r="G194" s="124">
        <f t="shared" si="89"/>
        <v>135.40744704570793</v>
      </c>
      <c r="H194" s="124">
        <f t="shared" si="89"/>
        <v>768.87645484949837</v>
      </c>
      <c r="I194" s="124">
        <f t="shared" si="89"/>
        <v>0.32093645484949834</v>
      </c>
      <c r="J194" s="124">
        <f t="shared" si="89"/>
        <v>24.013210702341137</v>
      </c>
      <c r="K194" s="124">
        <f t="shared" si="89"/>
        <v>6.8461538461538458</v>
      </c>
      <c r="L194" s="124">
        <f t="shared" si="89"/>
        <v>5.281337792642141</v>
      </c>
      <c r="M194" s="124">
        <f t="shared" si="89"/>
        <v>112.50190635451506</v>
      </c>
      <c r="N194" s="124">
        <f t="shared" si="89"/>
        <v>293.27963210702342</v>
      </c>
      <c r="O194" s="124">
        <f t="shared" si="89"/>
        <v>196.71006688963215</v>
      </c>
      <c r="P194" s="124">
        <f t="shared" si="89"/>
        <v>10.328648829431437</v>
      </c>
      <c r="Q194" s="194">
        <f t="shared" si="60"/>
        <v>760.16645484949834</v>
      </c>
    </row>
    <row r="195" spans="1:17" ht="18.75">
      <c r="A195" s="117">
        <v>8</v>
      </c>
      <c r="B195" s="247" t="s">
        <v>22</v>
      </c>
      <c r="C195" s="247"/>
      <c r="D195" s="247"/>
      <c r="E195" s="247"/>
      <c r="F195" s="247"/>
      <c r="G195" s="247"/>
      <c r="H195" s="247"/>
      <c r="I195" s="247"/>
      <c r="J195" s="247"/>
      <c r="K195" s="247"/>
      <c r="L195" s="247"/>
      <c r="M195" s="247"/>
      <c r="N195" s="247"/>
      <c r="O195" s="247"/>
      <c r="P195" s="248"/>
      <c r="Q195" s="194">
        <f t="shared" si="60"/>
        <v>0</v>
      </c>
    </row>
    <row r="196" spans="1:17" ht="18.75">
      <c r="A196" s="117">
        <v>8</v>
      </c>
      <c r="B196" s="122" t="s">
        <v>155</v>
      </c>
      <c r="C196" s="57" t="s">
        <v>296</v>
      </c>
      <c r="D196" s="185">
        <v>160</v>
      </c>
      <c r="E196" s="109">
        <v>7.02</v>
      </c>
      <c r="F196" s="109">
        <v>6.25</v>
      </c>
      <c r="G196" s="109">
        <v>42.69</v>
      </c>
      <c r="H196" s="109">
        <v>255.05</v>
      </c>
      <c r="I196" s="109">
        <v>0.14000000000000001</v>
      </c>
      <c r="J196" s="109">
        <v>0.37</v>
      </c>
      <c r="K196" s="109">
        <v>0.02</v>
      </c>
      <c r="L196" s="109">
        <v>2.98</v>
      </c>
      <c r="M196" s="109">
        <v>78.62</v>
      </c>
      <c r="N196" s="109">
        <v>109.69</v>
      </c>
      <c r="O196" s="109">
        <v>30.31</v>
      </c>
      <c r="P196" s="109">
        <v>1.31</v>
      </c>
      <c r="Q196" s="194">
        <f t="shared" si="60"/>
        <v>255.08999999999997</v>
      </c>
    </row>
    <row r="197" spans="1:17" ht="18.75">
      <c r="A197" s="129"/>
      <c r="B197" s="176" t="s">
        <v>153</v>
      </c>
      <c r="C197" s="186" t="s">
        <v>52</v>
      </c>
      <c r="D197" s="187">
        <v>200</v>
      </c>
      <c r="E197" s="62">
        <v>0.28999999999999998</v>
      </c>
      <c r="F197" s="62">
        <v>0.03</v>
      </c>
      <c r="G197" s="62">
        <v>15.1</v>
      </c>
      <c r="H197" s="109">
        <f t="shared" ref="H197:H198" si="90">Q197</f>
        <v>61.83</v>
      </c>
      <c r="I197" s="62">
        <v>0</v>
      </c>
      <c r="J197" s="62">
        <v>0.55000000000000004</v>
      </c>
      <c r="K197" s="62">
        <v>0</v>
      </c>
      <c r="L197" s="62">
        <v>0.09</v>
      </c>
      <c r="M197" s="62">
        <v>7.85</v>
      </c>
      <c r="N197" s="62">
        <v>8.16</v>
      </c>
      <c r="O197" s="62">
        <v>1.68</v>
      </c>
      <c r="P197" s="173">
        <v>0.19</v>
      </c>
      <c r="Q197" s="194">
        <f t="shared" si="60"/>
        <v>61.83</v>
      </c>
    </row>
    <row r="198" spans="1:17" ht="18.75">
      <c r="A198" s="117"/>
      <c r="B198" s="122"/>
      <c r="C198" s="57" t="s">
        <v>18</v>
      </c>
      <c r="D198" s="185">
        <f>D196+D197</f>
        <v>360</v>
      </c>
      <c r="E198" s="61">
        <f>E196+E197</f>
        <v>7.31</v>
      </c>
      <c r="F198" s="61">
        <f>F196+F197</f>
        <v>6.28</v>
      </c>
      <c r="G198" s="61">
        <f>G196+G197</f>
        <v>57.79</v>
      </c>
      <c r="H198" s="109">
        <f t="shared" si="90"/>
        <v>316.92</v>
      </c>
      <c r="I198" s="61">
        <f t="shared" ref="I198:P198" si="91">I196+I197</f>
        <v>0.14000000000000001</v>
      </c>
      <c r="J198" s="61">
        <f t="shared" si="91"/>
        <v>0.92</v>
      </c>
      <c r="K198" s="61">
        <f t="shared" si="91"/>
        <v>0.02</v>
      </c>
      <c r="L198" s="61">
        <f t="shared" si="91"/>
        <v>3.07</v>
      </c>
      <c r="M198" s="61">
        <f t="shared" si="91"/>
        <v>86.47</v>
      </c>
      <c r="N198" s="61">
        <f t="shared" si="91"/>
        <v>117.85</v>
      </c>
      <c r="O198" s="61">
        <f t="shared" si="91"/>
        <v>31.99</v>
      </c>
      <c r="P198" s="61">
        <f t="shared" si="91"/>
        <v>1.5</v>
      </c>
      <c r="Q198" s="194">
        <f t="shared" si="60"/>
        <v>316.92</v>
      </c>
    </row>
    <row r="199" spans="1:17" ht="18.75">
      <c r="A199" s="117">
        <v>8</v>
      </c>
      <c r="B199" s="121"/>
      <c r="C199" s="121" t="s">
        <v>32</v>
      </c>
      <c r="D199" s="60">
        <f t="shared" ref="D199:P199" si="92">D179+D194+D198</f>
        <v>1720</v>
      </c>
      <c r="E199" s="124">
        <f t="shared" si="92"/>
        <v>40.346666666666671</v>
      </c>
      <c r="F199" s="124">
        <f t="shared" si="92"/>
        <v>28.786666666666669</v>
      </c>
      <c r="G199" s="124">
        <f t="shared" si="92"/>
        <v>243.13744704570792</v>
      </c>
      <c r="H199" s="124">
        <f t="shared" si="92"/>
        <v>1401.7264548494984</v>
      </c>
      <c r="I199" s="124">
        <f t="shared" si="92"/>
        <v>0.55093645484949838</v>
      </c>
      <c r="J199" s="124">
        <f t="shared" si="92"/>
        <v>27.563210702341138</v>
      </c>
      <c r="K199" s="124">
        <f t="shared" si="92"/>
        <v>6.966153846153845</v>
      </c>
      <c r="L199" s="124">
        <f t="shared" si="92"/>
        <v>12.191337792642141</v>
      </c>
      <c r="M199" s="124">
        <f t="shared" si="92"/>
        <v>272.49190635451509</v>
      </c>
      <c r="N199" s="124">
        <f t="shared" si="92"/>
        <v>509.0496321070234</v>
      </c>
      <c r="O199" s="124">
        <f t="shared" si="92"/>
        <v>248.24006688963215</v>
      </c>
      <c r="P199" s="124">
        <f t="shared" si="92"/>
        <v>29.978648829431439</v>
      </c>
      <c r="Q199" s="194">
        <f t="shared" si="60"/>
        <v>1393.0164548494984</v>
      </c>
    </row>
    <row r="200" spans="1:17" ht="18.75">
      <c r="A200" s="117">
        <v>8</v>
      </c>
      <c r="B200" s="247" t="s">
        <v>17</v>
      </c>
      <c r="C200" s="247"/>
      <c r="D200" s="247"/>
      <c r="E200" s="247"/>
      <c r="F200" s="247"/>
      <c r="G200" s="247"/>
      <c r="H200" s="247"/>
      <c r="I200" s="247"/>
      <c r="J200" s="247"/>
      <c r="K200" s="247"/>
      <c r="L200" s="247"/>
      <c r="M200" s="247"/>
      <c r="N200" s="247"/>
      <c r="O200" s="247"/>
      <c r="P200" s="248"/>
      <c r="Q200" s="194">
        <f t="shared" si="60"/>
        <v>0</v>
      </c>
    </row>
    <row r="201" spans="1:17" ht="39.6" customHeight="1">
      <c r="A201" s="117">
        <v>9</v>
      </c>
      <c r="B201" s="105" t="s">
        <v>234</v>
      </c>
      <c r="C201" s="57" t="s">
        <v>233</v>
      </c>
      <c r="D201" s="123">
        <v>250</v>
      </c>
      <c r="E201" s="62">
        <v>5.3</v>
      </c>
      <c r="F201" s="62">
        <v>4.8</v>
      </c>
      <c r="G201" s="62">
        <v>19.100000000000001</v>
      </c>
      <c r="H201" s="61">
        <f>Q201</f>
        <v>140.80000000000001</v>
      </c>
      <c r="I201" s="62">
        <v>0.03</v>
      </c>
      <c r="J201" s="62">
        <v>0.03</v>
      </c>
      <c r="K201" s="62">
        <v>0.03</v>
      </c>
      <c r="L201" s="62">
        <v>0.47</v>
      </c>
      <c r="M201" s="62">
        <v>84</v>
      </c>
      <c r="N201" s="62">
        <v>66.7</v>
      </c>
      <c r="O201" s="62">
        <v>7.3</v>
      </c>
      <c r="P201" s="173">
        <v>0.5</v>
      </c>
      <c r="Q201" s="194">
        <f t="shared" si="60"/>
        <v>140.80000000000001</v>
      </c>
    </row>
    <row r="202" spans="1:17" ht="37.5">
      <c r="A202" s="117">
        <v>9</v>
      </c>
      <c r="B202" s="121"/>
      <c r="C202" s="59" t="s">
        <v>193</v>
      </c>
      <c r="D202" s="68">
        <v>38</v>
      </c>
      <c r="E202" s="61">
        <v>5.5</v>
      </c>
      <c r="F202" s="62">
        <v>6.5</v>
      </c>
      <c r="G202" s="61">
        <v>34.9</v>
      </c>
      <c r="H202" s="61">
        <f>Q202</f>
        <v>220.1</v>
      </c>
      <c r="I202" s="62">
        <v>0.04</v>
      </c>
      <c r="J202" s="62">
        <v>0.09</v>
      </c>
      <c r="K202" s="62">
        <v>0.1</v>
      </c>
      <c r="L202" s="62">
        <v>4.2</v>
      </c>
      <c r="M202" s="62">
        <v>30.7</v>
      </c>
      <c r="N202" s="62">
        <v>57.1</v>
      </c>
      <c r="O202" s="62">
        <v>6.4</v>
      </c>
      <c r="P202" s="143">
        <v>0.7</v>
      </c>
      <c r="Q202" s="194">
        <f t="shared" si="60"/>
        <v>220.1</v>
      </c>
    </row>
    <row r="203" spans="1:17" ht="18.75">
      <c r="A203" s="117">
        <v>9</v>
      </c>
      <c r="B203" s="76"/>
      <c r="C203" s="57" t="s">
        <v>216</v>
      </c>
      <c r="D203" s="123">
        <v>150</v>
      </c>
      <c r="E203" s="63">
        <v>0.4</v>
      </c>
      <c r="F203" s="70">
        <v>0.4</v>
      </c>
      <c r="G203" s="63">
        <v>9.8000000000000007</v>
      </c>
      <c r="H203" s="61">
        <f t="shared" ref="H203:H204" si="93">Q203</f>
        <v>44.400000000000006</v>
      </c>
      <c r="I203" s="70">
        <v>0.03</v>
      </c>
      <c r="J203" s="70">
        <v>10</v>
      </c>
      <c r="K203" s="70">
        <v>0</v>
      </c>
      <c r="L203" s="70">
        <v>0.2</v>
      </c>
      <c r="M203" s="70">
        <v>16</v>
      </c>
      <c r="N203" s="70">
        <v>11</v>
      </c>
      <c r="O203" s="70">
        <v>9</v>
      </c>
      <c r="P203" s="153">
        <v>2.2000000000000002</v>
      </c>
      <c r="Q203" s="194">
        <f t="shared" si="60"/>
        <v>44.400000000000006</v>
      </c>
    </row>
    <row r="204" spans="1:17" ht="18.75">
      <c r="A204" s="117">
        <v>9</v>
      </c>
      <c r="B204" s="65" t="s">
        <v>192</v>
      </c>
      <c r="C204" s="83" t="s">
        <v>26</v>
      </c>
      <c r="D204" s="68">
        <v>200</v>
      </c>
      <c r="E204" s="61">
        <v>0.04</v>
      </c>
      <c r="F204" s="62">
        <v>0.01</v>
      </c>
      <c r="G204" s="61">
        <v>7.5</v>
      </c>
      <c r="H204" s="61">
        <f t="shared" si="93"/>
        <v>30.25</v>
      </c>
      <c r="I204" s="62">
        <v>0</v>
      </c>
      <c r="J204" s="62">
        <v>0</v>
      </c>
      <c r="K204" s="62">
        <v>0.02</v>
      </c>
      <c r="L204" s="62">
        <v>0</v>
      </c>
      <c r="M204" s="62">
        <v>5.55</v>
      </c>
      <c r="N204" s="62">
        <v>0.7</v>
      </c>
      <c r="O204" s="62">
        <v>1.4</v>
      </c>
      <c r="P204" s="143">
        <v>0.14000000000000001</v>
      </c>
      <c r="Q204" s="194">
        <f t="shared" ref="Q204:Q247" si="94">E204*4+F204*9+G204*4</f>
        <v>30.25</v>
      </c>
    </row>
    <row r="205" spans="1:17" ht="18.75">
      <c r="A205" s="117">
        <v>9</v>
      </c>
      <c r="B205" s="121"/>
      <c r="C205" s="122" t="s">
        <v>18</v>
      </c>
      <c r="D205" s="123">
        <f>D201+D202+D203+D204+15</f>
        <v>653</v>
      </c>
      <c r="E205" s="124">
        <f t="shared" ref="E205:P205" si="95">E201+E202+E203+E204</f>
        <v>11.24</v>
      </c>
      <c r="F205" s="124">
        <f t="shared" si="95"/>
        <v>11.71</v>
      </c>
      <c r="G205" s="124">
        <f t="shared" si="95"/>
        <v>71.3</v>
      </c>
      <c r="H205" s="124">
        <f t="shared" si="95"/>
        <v>435.54999999999995</v>
      </c>
      <c r="I205" s="124">
        <f t="shared" si="95"/>
        <v>0.1</v>
      </c>
      <c r="J205" s="124">
        <f t="shared" si="95"/>
        <v>10.119999999999999</v>
      </c>
      <c r="K205" s="124">
        <f t="shared" si="95"/>
        <v>0.15</v>
      </c>
      <c r="L205" s="124">
        <f t="shared" si="95"/>
        <v>4.87</v>
      </c>
      <c r="M205" s="124">
        <f t="shared" si="95"/>
        <v>136.25</v>
      </c>
      <c r="N205" s="124">
        <f t="shared" si="95"/>
        <v>135.5</v>
      </c>
      <c r="O205" s="124">
        <f t="shared" si="95"/>
        <v>24.099999999999998</v>
      </c>
      <c r="P205" s="124">
        <f t="shared" si="95"/>
        <v>3.5400000000000005</v>
      </c>
      <c r="Q205" s="194">
        <f t="shared" si="94"/>
        <v>435.55</v>
      </c>
    </row>
    <row r="206" spans="1:17" ht="18.75">
      <c r="A206" s="117">
        <v>9</v>
      </c>
      <c r="B206" s="247" t="s">
        <v>19</v>
      </c>
      <c r="C206" s="247"/>
      <c r="D206" s="247"/>
      <c r="E206" s="247"/>
      <c r="F206" s="247"/>
      <c r="G206" s="247"/>
      <c r="H206" s="247"/>
      <c r="I206" s="247"/>
      <c r="J206" s="247"/>
      <c r="K206" s="247"/>
      <c r="L206" s="247"/>
      <c r="M206" s="247"/>
      <c r="N206" s="247"/>
      <c r="O206" s="247"/>
      <c r="P206" s="248"/>
      <c r="Q206" s="194">
        <f t="shared" si="94"/>
        <v>0</v>
      </c>
    </row>
    <row r="207" spans="1:17" ht="18.75">
      <c r="A207" s="117">
        <v>9</v>
      </c>
      <c r="B207" s="189" t="s">
        <v>271</v>
      </c>
      <c r="C207" s="190" t="s">
        <v>270</v>
      </c>
      <c r="D207" s="60">
        <v>100</v>
      </c>
      <c r="E207" s="72">
        <v>1.1000000000000001</v>
      </c>
      <c r="F207" s="72">
        <v>0.2</v>
      </c>
      <c r="G207" s="72">
        <v>3.8</v>
      </c>
      <c r="H207" s="72">
        <f>Q207</f>
        <v>21.4</v>
      </c>
      <c r="I207" s="72">
        <v>0.06</v>
      </c>
      <c r="J207" s="72">
        <v>25</v>
      </c>
      <c r="K207" s="72">
        <v>0</v>
      </c>
      <c r="L207" s="72">
        <v>0.7</v>
      </c>
      <c r="M207" s="72">
        <v>14</v>
      </c>
      <c r="N207" s="72">
        <v>26</v>
      </c>
      <c r="O207" s="72">
        <v>20</v>
      </c>
      <c r="P207" s="182">
        <v>0.9</v>
      </c>
      <c r="Q207" s="194">
        <f t="shared" si="94"/>
        <v>21.4</v>
      </c>
    </row>
    <row r="208" spans="1:17" ht="37.5">
      <c r="A208" s="103"/>
      <c r="B208" s="111" t="s">
        <v>237</v>
      </c>
      <c r="C208" s="57" t="s">
        <v>235</v>
      </c>
      <c r="D208" s="68">
        <v>250</v>
      </c>
      <c r="E208" s="61">
        <f>(E209*2.5+E210*0.1)/2.6</f>
        <v>0.70288461538461533</v>
      </c>
      <c r="F208" s="61">
        <f>(F209*2.5+F210*0.1)/2.6</f>
        <v>1.95</v>
      </c>
      <c r="G208" s="61">
        <f t="shared" ref="G208" si="96">(G209*2.5+G210*0.1)/2.6</f>
        <v>4.2182692307692307</v>
      </c>
      <c r="H208" s="72">
        <f t="shared" ref="H208:H210" si="97">Q208</f>
        <v>37.234615384615381</v>
      </c>
      <c r="I208" s="61">
        <f t="shared" ref="I208:P208" si="98">(I209*2.5+I210*0.1)/2.6</f>
        <v>1.9230769230769231E-4</v>
      </c>
      <c r="J208" s="61">
        <f t="shared" si="98"/>
        <v>1.9230769230769234E-3</v>
      </c>
      <c r="K208" s="61">
        <f t="shared" si="98"/>
        <v>4.5192307692307692</v>
      </c>
      <c r="L208" s="61">
        <f t="shared" si="98"/>
        <v>0.96346153846153837</v>
      </c>
      <c r="M208" s="61">
        <f t="shared" si="98"/>
        <v>19.48076923076923</v>
      </c>
      <c r="N208" s="61">
        <f t="shared" si="98"/>
        <v>10.326923076923077</v>
      </c>
      <c r="O208" s="61">
        <f t="shared" si="98"/>
        <v>21</v>
      </c>
      <c r="P208" s="142">
        <f t="shared" si="98"/>
        <v>0.48076923076923073</v>
      </c>
      <c r="Q208" s="194">
        <f t="shared" si="94"/>
        <v>37.234615384615381</v>
      </c>
    </row>
    <row r="209" spans="1:17" ht="18.75">
      <c r="A209" s="103"/>
      <c r="B209" s="212"/>
      <c r="C209" s="57" t="s">
        <v>236</v>
      </c>
      <c r="D209" s="68">
        <v>250</v>
      </c>
      <c r="E209" s="63">
        <v>0.72099999999999997</v>
      </c>
      <c r="F209" s="63">
        <v>1.968</v>
      </c>
      <c r="G209" s="63">
        <v>4.3730000000000002</v>
      </c>
      <c r="H209" s="63">
        <f t="shared" si="97"/>
        <v>38.088000000000001</v>
      </c>
      <c r="I209" s="63">
        <v>0</v>
      </c>
      <c r="J209" s="63">
        <v>0</v>
      </c>
      <c r="K209" s="63">
        <v>4.3</v>
      </c>
      <c r="L209" s="63">
        <v>1</v>
      </c>
      <c r="M209" s="63">
        <v>19.899999999999999</v>
      </c>
      <c r="N209" s="63">
        <v>10.5</v>
      </c>
      <c r="O209" s="63">
        <v>21.8</v>
      </c>
      <c r="P209" s="63">
        <v>0.5</v>
      </c>
      <c r="Q209" s="194">
        <f t="shared" si="94"/>
        <v>38.088000000000001</v>
      </c>
    </row>
    <row r="210" spans="1:17" ht="18.75">
      <c r="A210" s="103"/>
      <c r="B210" s="212"/>
      <c r="C210" s="57" t="s">
        <v>222</v>
      </c>
      <c r="D210" s="213">
        <v>10</v>
      </c>
      <c r="E210" s="63">
        <v>0.25</v>
      </c>
      <c r="F210" s="63">
        <v>1.5</v>
      </c>
      <c r="G210" s="63">
        <v>0.35</v>
      </c>
      <c r="H210" s="63">
        <f t="shared" si="97"/>
        <v>15.9</v>
      </c>
      <c r="I210" s="63">
        <v>5.0000000000000001E-3</v>
      </c>
      <c r="J210" s="63">
        <v>0.05</v>
      </c>
      <c r="K210" s="63">
        <v>10</v>
      </c>
      <c r="L210" s="63">
        <v>0.05</v>
      </c>
      <c r="M210" s="63">
        <v>9</v>
      </c>
      <c r="N210" s="63">
        <v>6</v>
      </c>
      <c r="O210" s="63">
        <v>1</v>
      </c>
      <c r="P210" s="63">
        <v>0</v>
      </c>
      <c r="Q210" s="194">
        <f t="shared" si="94"/>
        <v>15.9</v>
      </c>
    </row>
    <row r="211" spans="1:17" ht="18.75">
      <c r="A211" s="117">
        <v>9</v>
      </c>
      <c r="B211" s="189" t="s">
        <v>200</v>
      </c>
      <c r="C211" s="193" t="s">
        <v>199</v>
      </c>
      <c r="D211" s="123">
        <v>100</v>
      </c>
      <c r="E211" s="191">
        <v>9.1</v>
      </c>
      <c r="F211" s="191">
        <v>17</v>
      </c>
      <c r="G211" s="191">
        <v>5.65</v>
      </c>
      <c r="H211" s="72">
        <f t="shared" ref="H211:H215" si="99">Q211</f>
        <v>212</v>
      </c>
      <c r="I211" s="191">
        <v>0</v>
      </c>
      <c r="J211" s="191">
        <v>0.1</v>
      </c>
      <c r="K211" s="191">
        <v>1.1000000000000001</v>
      </c>
      <c r="L211" s="191">
        <v>1.5</v>
      </c>
      <c r="M211" s="191">
        <v>24</v>
      </c>
      <c r="N211" s="191">
        <v>136.25</v>
      </c>
      <c r="O211" s="191">
        <v>17.75</v>
      </c>
      <c r="P211" s="192">
        <v>1.6</v>
      </c>
      <c r="Q211" s="194">
        <f t="shared" si="94"/>
        <v>212</v>
      </c>
    </row>
    <row r="212" spans="1:17" ht="15" customHeight="1">
      <c r="A212" s="117">
        <v>9</v>
      </c>
      <c r="B212" s="188" t="s">
        <v>164</v>
      </c>
      <c r="C212" s="67" t="s">
        <v>272</v>
      </c>
      <c r="D212" s="60">
        <v>180</v>
      </c>
      <c r="E212" s="61">
        <v>5.72</v>
      </c>
      <c r="F212" s="216">
        <v>4.8600000000000003</v>
      </c>
      <c r="G212" s="216">
        <v>20.68</v>
      </c>
      <c r="H212" s="72">
        <f t="shared" si="99"/>
        <v>149.34</v>
      </c>
      <c r="I212" s="61">
        <v>0.16</v>
      </c>
      <c r="J212" s="61">
        <v>0</v>
      </c>
      <c r="K212" s="61">
        <v>0.01</v>
      </c>
      <c r="L212" s="61">
        <v>0.4</v>
      </c>
      <c r="M212" s="61">
        <v>10.26</v>
      </c>
      <c r="N212" s="61">
        <v>135.55000000000001</v>
      </c>
      <c r="O212" s="61">
        <v>90.32</v>
      </c>
      <c r="P212" s="178">
        <v>3.1</v>
      </c>
      <c r="Q212" s="194">
        <f t="shared" si="94"/>
        <v>149.34</v>
      </c>
    </row>
    <row r="213" spans="1:17" ht="18.75">
      <c r="A213" s="117">
        <v>9</v>
      </c>
      <c r="B213" s="106" t="s">
        <v>154</v>
      </c>
      <c r="C213" s="81" t="s">
        <v>56</v>
      </c>
      <c r="D213" s="68">
        <v>150</v>
      </c>
      <c r="E213" s="62">
        <v>0.33</v>
      </c>
      <c r="F213" s="62">
        <v>0.05</v>
      </c>
      <c r="G213" s="62">
        <v>14.01</v>
      </c>
      <c r="H213" s="72">
        <f t="shared" si="99"/>
        <v>57.81</v>
      </c>
      <c r="I213" s="62">
        <v>0.01</v>
      </c>
      <c r="J213" s="62">
        <v>0.34</v>
      </c>
      <c r="K213" s="62">
        <v>0</v>
      </c>
      <c r="L213" s="62">
        <v>0.25</v>
      </c>
      <c r="M213" s="62">
        <v>16.18</v>
      </c>
      <c r="N213" s="62">
        <v>11.72</v>
      </c>
      <c r="O213" s="62">
        <v>8.73</v>
      </c>
      <c r="P213" s="143">
        <v>0.34399999999999997</v>
      </c>
      <c r="Q213" s="194">
        <f t="shared" si="94"/>
        <v>57.81</v>
      </c>
    </row>
    <row r="214" spans="1:17" ht="17.25" customHeight="1">
      <c r="A214" s="117"/>
      <c r="B214" s="65" t="s">
        <v>57</v>
      </c>
      <c r="C214" s="81" t="s">
        <v>20</v>
      </c>
      <c r="D214" s="68">
        <v>40</v>
      </c>
      <c r="E214" s="79">
        <v>7.6666666666666661</v>
      </c>
      <c r="F214" s="79">
        <v>0.66666666666666674</v>
      </c>
      <c r="G214" s="79">
        <v>49.333333333333336</v>
      </c>
      <c r="H214" s="72">
        <f t="shared" si="99"/>
        <v>234</v>
      </c>
      <c r="I214" s="79">
        <v>0</v>
      </c>
      <c r="J214" s="79">
        <v>0</v>
      </c>
      <c r="K214" s="79">
        <v>0</v>
      </c>
      <c r="L214" s="79">
        <v>1</v>
      </c>
      <c r="M214" s="79">
        <v>20</v>
      </c>
      <c r="N214" s="79">
        <v>65</v>
      </c>
      <c r="O214" s="79">
        <v>14.000000000000002</v>
      </c>
      <c r="P214" s="158">
        <v>1</v>
      </c>
      <c r="Q214" s="194">
        <f t="shared" si="94"/>
        <v>234</v>
      </c>
    </row>
    <row r="215" spans="1:17" ht="17.25" customHeight="1">
      <c r="A215" s="117">
        <v>9</v>
      </c>
      <c r="B215" s="121" t="s">
        <v>150</v>
      </c>
      <c r="C215" s="69" t="s">
        <v>21</v>
      </c>
      <c r="D215" s="60">
        <v>50</v>
      </c>
      <c r="E215" s="79">
        <v>6.5</v>
      </c>
      <c r="F215" s="80">
        <v>1.25</v>
      </c>
      <c r="G215" s="79">
        <v>39.5</v>
      </c>
      <c r="H215" s="72">
        <f t="shared" si="99"/>
        <v>195.25</v>
      </c>
      <c r="I215" s="80">
        <v>0.25</v>
      </c>
      <c r="J215" s="80">
        <v>0</v>
      </c>
      <c r="K215" s="80">
        <v>0</v>
      </c>
      <c r="L215" s="80">
        <v>1.5</v>
      </c>
      <c r="M215" s="80">
        <v>28.999999999999996</v>
      </c>
      <c r="N215" s="80">
        <v>150</v>
      </c>
      <c r="O215" s="80">
        <v>47</v>
      </c>
      <c r="P215" s="159">
        <v>4</v>
      </c>
      <c r="Q215" s="194">
        <f t="shared" si="94"/>
        <v>195.25</v>
      </c>
    </row>
    <row r="216" spans="1:17" ht="18.75">
      <c r="A216" s="117">
        <v>9</v>
      </c>
      <c r="B216" s="121"/>
      <c r="C216" s="121" t="s">
        <v>18</v>
      </c>
      <c r="D216" s="60" t="e">
        <f>D207+D208+D211+D212+D213+#REF!+D214+D215</f>
        <v>#REF!</v>
      </c>
      <c r="E216" s="124" t="e">
        <f>E207+E208+E211+E212+E213+#REF!+E214+E215</f>
        <v>#REF!</v>
      </c>
      <c r="F216" s="124" t="e">
        <f>F207+F208+F211+F212+F213+#REF!+F214+F215</f>
        <v>#REF!</v>
      </c>
      <c r="G216" s="124" t="e">
        <f>G207+G208+G211+G212+G213+#REF!+G214+G215</f>
        <v>#REF!</v>
      </c>
      <c r="H216" s="124" t="e">
        <f>H207+H208+H211+H212+H213+#REF!+H214+H215</f>
        <v>#REF!</v>
      </c>
      <c r="I216" s="124" t="e">
        <f>I207+I208+I211+I212+I213+#REF!+I214+I215</f>
        <v>#REF!</v>
      </c>
      <c r="J216" s="124" t="e">
        <f>J207+J208+J211+J212+J213+#REF!+J214+J215</f>
        <v>#REF!</v>
      </c>
      <c r="K216" s="124" t="e">
        <f>K207+K208+K211+K212+K213+#REF!+K214+K215</f>
        <v>#REF!</v>
      </c>
      <c r="L216" s="124" t="e">
        <f>L207+L208+L211+L212+L213+#REF!+L214+L215</f>
        <v>#REF!</v>
      </c>
      <c r="M216" s="124" t="e">
        <f>M207+M208+M211+M212+M213+#REF!+M214+M215</f>
        <v>#REF!</v>
      </c>
      <c r="N216" s="124" t="e">
        <f>N207+N208+N211+N212+N213+#REF!+N214+N215</f>
        <v>#REF!</v>
      </c>
      <c r="O216" s="124" t="e">
        <f>O207+O208+O211+O212+O213+#REF!+O214+O215</f>
        <v>#REF!</v>
      </c>
      <c r="P216" s="124" t="e">
        <f>P207+P208+P211+P212+P213+#REF!+P214+P215</f>
        <v>#REF!</v>
      </c>
      <c r="Q216" s="194" t="e">
        <f t="shared" si="94"/>
        <v>#REF!</v>
      </c>
    </row>
    <row r="217" spans="1:17" ht="18.75">
      <c r="A217" s="117">
        <v>9</v>
      </c>
      <c r="B217" s="247" t="s">
        <v>22</v>
      </c>
      <c r="C217" s="247"/>
      <c r="D217" s="247"/>
      <c r="E217" s="247"/>
      <c r="F217" s="247"/>
      <c r="G217" s="247"/>
      <c r="H217" s="247"/>
      <c r="I217" s="247"/>
      <c r="J217" s="247"/>
      <c r="K217" s="247"/>
      <c r="L217" s="247"/>
      <c r="M217" s="247"/>
      <c r="N217" s="247"/>
      <c r="O217" s="247"/>
      <c r="P217" s="248"/>
      <c r="Q217" s="194">
        <f t="shared" si="94"/>
        <v>0</v>
      </c>
    </row>
    <row r="218" spans="1:17" ht="15" customHeight="1">
      <c r="A218" s="117">
        <v>9</v>
      </c>
      <c r="B218" s="189" t="s">
        <v>97</v>
      </c>
      <c r="C218" s="172" t="s">
        <v>273</v>
      </c>
      <c r="D218" s="60">
        <v>120</v>
      </c>
      <c r="E218" s="225">
        <v>10</v>
      </c>
      <c r="F218" s="72">
        <v>12</v>
      </c>
      <c r="G218" s="72">
        <v>49</v>
      </c>
      <c r="H218" s="72">
        <f>Q218</f>
        <v>344</v>
      </c>
      <c r="I218" s="72">
        <v>0.13</v>
      </c>
      <c r="J218" s="72">
        <v>0</v>
      </c>
      <c r="K218" s="72">
        <v>0</v>
      </c>
      <c r="L218" s="72">
        <v>1.7</v>
      </c>
      <c r="M218" s="72">
        <v>7</v>
      </c>
      <c r="N218" s="72">
        <v>63</v>
      </c>
      <c r="O218" s="72">
        <v>25</v>
      </c>
      <c r="P218" s="195">
        <v>1.4</v>
      </c>
      <c r="Q218" s="194">
        <f t="shared" si="94"/>
        <v>344</v>
      </c>
    </row>
    <row r="219" spans="1:17" ht="18.75">
      <c r="A219" s="117"/>
      <c r="B219" s="211" t="s">
        <v>284</v>
      </c>
      <c r="C219" s="59" t="s">
        <v>285</v>
      </c>
      <c r="D219" s="213">
        <v>100</v>
      </c>
      <c r="E219" s="61">
        <v>1</v>
      </c>
      <c r="F219" s="61">
        <v>3.8</v>
      </c>
      <c r="G219" s="61">
        <v>7.9</v>
      </c>
      <c r="H219" s="61">
        <f>Q219</f>
        <v>69.8</v>
      </c>
      <c r="I219" s="61">
        <v>0</v>
      </c>
      <c r="J219" s="61">
        <v>9.6</v>
      </c>
      <c r="K219" s="61">
        <v>0</v>
      </c>
      <c r="L219" s="61">
        <v>3.3</v>
      </c>
      <c r="M219" s="61">
        <v>43.9</v>
      </c>
      <c r="N219" s="61">
        <v>41.4</v>
      </c>
      <c r="O219" s="61">
        <v>28</v>
      </c>
      <c r="P219" s="143">
        <v>1.4</v>
      </c>
      <c r="Q219" s="194">
        <f t="shared" si="94"/>
        <v>69.8</v>
      </c>
    </row>
    <row r="220" spans="1:17" ht="37.5">
      <c r="A220" s="117">
        <v>9</v>
      </c>
      <c r="B220" s="78" t="s">
        <v>151</v>
      </c>
      <c r="C220" s="59" t="s">
        <v>49</v>
      </c>
      <c r="D220" s="123">
        <v>200</v>
      </c>
      <c r="E220" s="62">
        <v>0.08</v>
      </c>
      <c r="F220" s="62">
        <v>0.08</v>
      </c>
      <c r="G220" s="62">
        <v>9.94</v>
      </c>
      <c r="H220" s="72">
        <f>Q220</f>
        <v>40.799999999999997</v>
      </c>
      <c r="I220" s="62">
        <v>0.01</v>
      </c>
      <c r="J220" s="62">
        <v>0.45</v>
      </c>
      <c r="K220" s="62">
        <v>0</v>
      </c>
      <c r="L220" s="62">
        <v>0.04</v>
      </c>
      <c r="M220" s="62">
        <v>6.97</v>
      </c>
      <c r="N220" s="62">
        <v>2.2000000000000002</v>
      </c>
      <c r="O220" s="62">
        <v>2.57</v>
      </c>
      <c r="P220" s="143">
        <v>0.46800000000000003</v>
      </c>
      <c r="Q220" s="194">
        <f t="shared" si="94"/>
        <v>40.799999999999997</v>
      </c>
    </row>
    <row r="221" spans="1:17" ht="18.75">
      <c r="A221" s="117">
        <v>9</v>
      </c>
      <c r="B221" s="121"/>
      <c r="C221" s="121" t="s">
        <v>18</v>
      </c>
      <c r="D221" s="123">
        <f t="shared" ref="D221:P221" si="100">SUM(D218,D220)</f>
        <v>320</v>
      </c>
      <c r="E221" s="124">
        <f t="shared" si="100"/>
        <v>10.08</v>
      </c>
      <c r="F221" s="124">
        <f t="shared" si="100"/>
        <v>12.08</v>
      </c>
      <c r="G221" s="124">
        <f t="shared" si="100"/>
        <v>58.94</v>
      </c>
      <c r="H221" s="124">
        <f t="shared" si="100"/>
        <v>384.8</v>
      </c>
      <c r="I221" s="124">
        <f t="shared" si="100"/>
        <v>0.14000000000000001</v>
      </c>
      <c r="J221" s="124">
        <f t="shared" si="100"/>
        <v>0.45</v>
      </c>
      <c r="K221" s="124">
        <f t="shared" si="100"/>
        <v>0</v>
      </c>
      <c r="L221" s="124">
        <f t="shared" si="100"/>
        <v>1.74</v>
      </c>
      <c r="M221" s="124">
        <f t="shared" si="100"/>
        <v>13.969999999999999</v>
      </c>
      <c r="N221" s="124">
        <f t="shared" si="100"/>
        <v>65.2</v>
      </c>
      <c r="O221" s="124">
        <f t="shared" si="100"/>
        <v>27.57</v>
      </c>
      <c r="P221" s="154">
        <f t="shared" si="100"/>
        <v>1.8679999999999999</v>
      </c>
      <c r="Q221" s="194">
        <f t="shared" si="94"/>
        <v>384.79999999999995</v>
      </c>
    </row>
    <row r="222" spans="1:17" ht="18.75">
      <c r="A222" s="117">
        <v>9</v>
      </c>
      <c r="B222" s="121"/>
      <c r="C222" s="121" t="s">
        <v>33</v>
      </c>
      <c r="D222" s="123" t="e">
        <f t="shared" ref="D222:P222" si="101">D205+D216+D221</f>
        <v>#REF!</v>
      </c>
      <c r="E222" s="124" t="e">
        <f t="shared" si="101"/>
        <v>#REF!</v>
      </c>
      <c r="F222" s="124" t="e">
        <f t="shared" si="101"/>
        <v>#REF!</v>
      </c>
      <c r="G222" s="124" t="e">
        <f t="shared" si="101"/>
        <v>#REF!</v>
      </c>
      <c r="H222" s="124" t="e">
        <f t="shared" si="101"/>
        <v>#REF!</v>
      </c>
      <c r="I222" s="124" t="e">
        <f t="shared" si="101"/>
        <v>#REF!</v>
      </c>
      <c r="J222" s="124" t="e">
        <f t="shared" si="101"/>
        <v>#REF!</v>
      </c>
      <c r="K222" s="124" t="e">
        <f t="shared" si="101"/>
        <v>#REF!</v>
      </c>
      <c r="L222" s="124" t="e">
        <f t="shared" si="101"/>
        <v>#REF!</v>
      </c>
      <c r="M222" s="124" t="e">
        <f t="shared" si="101"/>
        <v>#REF!</v>
      </c>
      <c r="N222" s="124" t="e">
        <f t="shared" si="101"/>
        <v>#REF!</v>
      </c>
      <c r="O222" s="124" t="e">
        <f t="shared" si="101"/>
        <v>#REF!</v>
      </c>
      <c r="P222" s="154" t="e">
        <f t="shared" si="101"/>
        <v>#REF!</v>
      </c>
      <c r="Q222" s="194" t="e">
        <f t="shared" si="94"/>
        <v>#REF!</v>
      </c>
    </row>
    <row r="223" spans="1:17" ht="18.75">
      <c r="A223" s="117">
        <v>9</v>
      </c>
      <c r="B223" s="247" t="s">
        <v>17</v>
      </c>
      <c r="C223" s="247"/>
      <c r="D223" s="247"/>
      <c r="E223" s="247"/>
      <c r="F223" s="247"/>
      <c r="G223" s="247"/>
      <c r="H223" s="247"/>
      <c r="I223" s="247"/>
      <c r="J223" s="247"/>
      <c r="K223" s="247"/>
      <c r="L223" s="247"/>
      <c r="M223" s="247"/>
      <c r="N223" s="247"/>
      <c r="O223" s="247"/>
      <c r="P223" s="248"/>
      <c r="Q223" s="194">
        <f t="shared" si="94"/>
        <v>0</v>
      </c>
    </row>
    <row r="224" spans="1:17" ht="28.15" customHeight="1">
      <c r="A224" s="117"/>
      <c r="B224" s="65" t="s">
        <v>191</v>
      </c>
      <c r="C224" s="83" t="s">
        <v>275</v>
      </c>
      <c r="D224" s="65">
        <v>210</v>
      </c>
      <c r="E224" s="120">
        <f>(E225*2+E226*0.05+E227*0.05)/2.1</f>
        <v>8.4952380952380953</v>
      </c>
      <c r="F224" s="120">
        <f t="shared" ref="F224:P224" si="102">(F225*2+F226*0.05+F227*0.05)/2.1</f>
        <v>5.3452380952380949</v>
      </c>
      <c r="G224" s="120">
        <f t="shared" si="102"/>
        <v>25.93095238095238</v>
      </c>
      <c r="H224" s="120">
        <f t="shared" si="102"/>
        <v>185.81190476190474</v>
      </c>
      <c r="I224" s="120">
        <f t="shared" si="102"/>
        <v>9.5476190476190478E-2</v>
      </c>
      <c r="J224" s="120">
        <f t="shared" si="102"/>
        <v>0.19047619047619047</v>
      </c>
      <c r="K224" s="120">
        <f t="shared" si="102"/>
        <v>9.5238095238095247E-3</v>
      </c>
      <c r="L224" s="120">
        <f t="shared" si="102"/>
        <v>0.69047619047619047</v>
      </c>
      <c r="M224" s="120">
        <f t="shared" si="102"/>
        <v>71.428571428571431</v>
      </c>
      <c r="N224" s="120">
        <f t="shared" si="102"/>
        <v>22.523809523809522</v>
      </c>
      <c r="O224" s="120">
        <f t="shared" si="102"/>
        <v>92.38095238095238</v>
      </c>
      <c r="P224" s="120">
        <f t="shared" si="102"/>
        <v>0.39285714285714285</v>
      </c>
      <c r="Q224" s="194">
        <f t="shared" si="94"/>
        <v>185.81190476190477</v>
      </c>
    </row>
    <row r="225" spans="1:18" ht="24" customHeight="1">
      <c r="A225" s="117">
        <v>10</v>
      </c>
      <c r="B225" s="65" t="s">
        <v>191</v>
      </c>
      <c r="C225" s="83" t="s">
        <v>276</v>
      </c>
      <c r="D225" s="68">
        <v>200</v>
      </c>
      <c r="E225" s="215">
        <v>8.9</v>
      </c>
      <c r="F225" s="215">
        <v>3.8</v>
      </c>
      <c r="G225" s="62">
        <v>24.7</v>
      </c>
      <c r="H225" s="61">
        <f>Q225</f>
        <v>168.6</v>
      </c>
      <c r="I225" s="62">
        <v>0.1</v>
      </c>
      <c r="J225" s="62">
        <v>0.2</v>
      </c>
      <c r="K225" s="62">
        <v>0</v>
      </c>
      <c r="L225" s="62">
        <v>0.7</v>
      </c>
      <c r="M225" s="62">
        <v>74.400000000000006</v>
      </c>
      <c r="N225" s="62">
        <v>22.9</v>
      </c>
      <c r="O225" s="62">
        <v>97</v>
      </c>
      <c r="P225" s="173">
        <v>0.4</v>
      </c>
      <c r="Q225" s="194">
        <f t="shared" si="94"/>
        <v>168.6</v>
      </c>
      <c r="R225" s="138">
        <f>F225*4+G225*4+H225*9</f>
        <v>1631.3999999999999</v>
      </c>
    </row>
    <row r="226" spans="1:18" s="134" customFormat="1" ht="15" customHeight="1">
      <c r="A226" s="129"/>
      <c r="B226" s="65"/>
      <c r="C226" s="83" t="s">
        <v>88</v>
      </c>
      <c r="D226" s="68">
        <v>5</v>
      </c>
      <c r="E226" s="62">
        <v>0</v>
      </c>
      <c r="F226" s="62">
        <v>0</v>
      </c>
      <c r="G226" s="62">
        <v>99.8</v>
      </c>
      <c r="H226" s="61">
        <f t="shared" ref="H226:H230" si="103">Q226</f>
        <v>399.2</v>
      </c>
      <c r="I226" s="62">
        <v>0</v>
      </c>
      <c r="J226" s="62">
        <v>0</v>
      </c>
      <c r="K226" s="62">
        <v>0</v>
      </c>
      <c r="L226" s="62">
        <v>0</v>
      </c>
      <c r="M226" s="62">
        <v>0</v>
      </c>
      <c r="N226" s="62">
        <v>0</v>
      </c>
      <c r="O226" s="62">
        <v>0</v>
      </c>
      <c r="P226" s="173">
        <v>0.3</v>
      </c>
      <c r="Q226" s="194">
        <f t="shared" si="94"/>
        <v>399.2</v>
      </c>
      <c r="R226" s="196"/>
    </row>
    <row r="227" spans="1:18" ht="15" customHeight="1">
      <c r="A227" s="117"/>
      <c r="B227" s="65"/>
      <c r="C227" s="83" t="s">
        <v>274</v>
      </c>
      <c r="D227" s="68">
        <v>5</v>
      </c>
      <c r="E227" s="62">
        <v>0.8</v>
      </c>
      <c r="F227" s="62">
        <v>72.5</v>
      </c>
      <c r="G227" s="62">
        <v>1.3</v>
      </c>
      <c r="H227" s="61">
        <f t="shared" si="103"/>
        <v>660.90000000000009</v>
      </c>
      <c r="I227" s="107">
        <v>0.01</v>
      </c>
      <c r="J227" s="108">
        <v>0</v>
      </c>
      <c r="K227" s="108">
        <v>0.4</v>
      </c>
      <c r="L227" s="108">
        <v>1</v>
      </c>
      <c r="M227" s="108">
        <v>24</v>
      </c>
      <c r="N227" s="61">
        <v>30</v>
      </c>
      <c r="O227" s="108">
        <v>0</v>
      </c>
      <c r="P227" s="144">
        <v>0.2</v>
      </c>
      <c r="Q227" s="194">
        <f t="shared" si="94"/>
        <v>660.90000000000009</v>
      </c>
      <c r="R227" s="138"/>
    </row>
    <row r="228" spans="1:18" ht="26.45" customHeight="1">
      <c r="A228" s="117">
        <v>10</v>
      </c>
      <c r="B228" s="105" t="s">
        <v>98</v>
      </c>
      <c r="C228" s="58" t="s">
        <v>24</v>
      </c>
      <c r="D228" s="68">
        <v>40</v>
      </c>
      <c r="E228" s="61">
        <v>8</v>
      </c>
      <c r="F228" s="61">
        <v>0.25</v>
      </c>
      <c r="G228" s="61">
        <v>53</v>
      </c>
      <c r="H228" s="61">
        <f t="shared" si="103"/>
        <v>246.25</v>
      </c>
      <c r="I228" s="61">
        <v>0.2</v>
      </c>
      <c r="J228" s="61">
        <v>4</v>
      </c>
      <c r="K228" s="61">
        <v>0</v>
      </c>
      <c r="L228" s="61">
        <v>0</v>
      </c>
      <c r="M228" s="61">
        <v>38</v>
      </c>
      <c r="N228" s="61">
        <v>130</v>
      </c>
      <c r="O228" s="61">
        <v>26</v>
      </c>
      <c r="P228" s="143">
        <v>2.5</v>
      </c>
      <c r="Q228" s="194">
        <f t="shared" si="94"/>
        <v>246.25</v>
      </c>
      <c r="R228" s="132"/>
    </row>
    <row r="229" spans="1:18" ht="16.5" customHeight="1">
      <c r="A229" s="117">
        <v>10</v>
      </c>
      <c r="B229" s="121" t="s">
        <v>192</v>
      </c>
      <c r="C229" s="57" t="s">
        <v>26</v>
      </c>
      <c r="D229" s="68">
        <v>200</v>
      </c>
      <c r="E229" s="61">
        <v>0.04</v>
      </c>
      <c r="F229" s="62">
        <v>0.01</v>
      </c>
      <c r="G229" s="61">
        <v>7.5</v>
      </c>
      <c r="H229" s="61">
        <f t="shared" si="103"/>
        <v>30.25</v>
      </c>
      <c r="I229" s="62">
        <v>0</v>
      </c>
      <c r="J229" s="62">
        <v>0</v>
      </c>
      <c r="K229" s="62">
        <v>0.02</v>
      </c>
      <c r="L229" s="62">
        <v>0</v>
      </c>
      <c r="M229" s="62">
        <v>5.55</v>
      </c>
      <c r="N229" s="62">
        <v>0.7</v>
      </c>
      <c r="O229" s="62">
        <v>1.4</v>
      </c>
      <c r="P229" s="143">
        <v>0.14000000000000001</v>
      </c>
      <c r="Q229" s="194">
        <f t="shared" si="94"/>
        <v>30.25</v>
      </c>
      <c r="R229" s="132"/>
    </row>
    <row r="230" spans="1:18" ht="17.25" customHeight="1">
      <c r="A230" s="117">
        <v>10</v>
      </c>
      <c r="B230" s="106" t="s">
        <v>202</v>
      </c>
      <c r="C230" s="64" t="s">
        <v>111</v>
      </c>
      <c r="D230" s="68">
        <v>10</v>
      </c>
      <c r="E230" s="62">
        <v>0.8</v>
      </c>
      <c r="F230" s="62">
        <v>72.5</v>
      </c>
      <c r="G230" s="62">
        <v>1.3</v>
      </c>
      <c r="H230" s="61">
        <f t="shared" si="103"/>
        <v>660.90000000000009</v>
      </c>
      <c r="I230" s="107">
        <v>0.01</v>
      </c>
      <c r="J230" s="108">
        <v>0</v>
      </c>
      <c r="K230" s="108">
        <v>0.4</v>
      </c>
      <c r="L230" s="108">
        <v>1</v>
      </c>
      <c r="M230" s="108">
        <v>24</v>
      </c>
      <c r="N230" s="61">
        <v>30</v>
      </c>
      <c r="O230" s="108">
        <v>0</v>
      </c>
      <c r="P230" s="144">
        <v>0.2</v>
      </c>
      <c r="Q230" s="194">
        <f t="shared" si="94"/>
        <v>660.90000000000009</v>
      </c>
    </row>
    <row r="231" spans="1:18" ht="18.75">
      <c r="A231" s="117">
        <v>10</v>
      </c>
      <c r="B231" s="121"/>
      <c r="C231" s="122" t="s">
        <v>18</v>
      </c>
      <c r="D231" s="123">
        <f>D224+D228+D229+D230</f>
        <v>460</v>
      </c>
      <c r="E231" s="124">
        <f>E224+E228+E229+E230</f>
        <v>17.335238095238093</v>
      </c>
      <c r="F231" s="124">
        <f t="shared" ref="F231:P231" si="104">F224+F228+F229+F230</f>
        <v>78.105238095238093</v>
      </c>
      <c r="G231" s="124">
        <f t="shared" si="104"/>
        <v>87.730952380952374</v>
      </c>
      <c r="H231" s="124">
        <f>H224+H228+H229+H230</f>
        <v>1123.2119047619049</v>
      </c>
      <c r="I231" s="124">
        <f t="shared" si="104"/>
        <v>0.30547619047619051</v>
      </c>
      <c r="J231" s="124">
        <f t="shared" si="104"/>
        <v>4.1904761904761907</v>
      </c>
      <c r="K231" s="124">
        <f t="shared" si="104"/>
        <v>0.42952380952380953</v>
      </c>
      <c r="L231" s="124">
        <f t="shared" si="104"/>
        <v>1.6904761904761905</v>
      </c>
      <c r="M231" s="124">
        <f t="shared" si="104"/>
        <v>138.97857142857143</v>
      </c>
      <c r="N231" s="124">
        <f t="shared" si="104"/>
        <v>183.22380952380951</v>
      </c>
      <c r="O231" s="124">
        <f t="shared" si="104"/>
        <v>119.78095238095239</v>
      </c>
      <c r="P231" s="124">
        <f t="shared" si="104"/>
        <v>3.2328571428571431</v>
      </c>
      <c r="Q231" s="194">
        <f t="shared" si="94"/>
        <v>1123.2119047619046</v>
      </c>
    </row>
    <row r="232" spans="1:18" ht="18.75">
      <c r="A232" s="117">
        <v>10</v>
      </c>
      <c r="B232" s="247" t="s">
        <v>19</v>
      </c>
      <c r="C232" s="247"/>
      <c r="D232" s="247"/>
      <c r="E232" s="247"/>
      <c r="F232" s="247"/>
      <c r="G232" s="247"/>
      <c r="H232" s="247"/>
      <c r="I232" s="247"/>
      <c r="J232" s="247"/>
      <c r="K232" s="247"/>
      <c r="L232" s="247"/>
      <c r="M232" s="247"/>
      <c r="N232" s="247"/>
      <c r="O232" s="247"/>
      <c r="P232" s="248"/>
      <c r="Q232" s="194">
        <f t="shared" si="94"/>
        <v>0</v>
      </c>
    </row>
    <row r="233" spans="1:18" ht="36.6" customHeight="1">
      <c r="A233" s="117">
        <v>10</v>
      </c>
      <c r="B233" s="176" t="s">
        <v>278</v>
      </c>
      <c r="C233" s="67" t="s">
        <v>277</v>
      </c>
      <c r="D233" s="68">
        <v>100</v>
      </c>
      <c r="E233" s="89">
        <v>1.6</v>
      </c>
      <c r="F233" s="89">
        <v>5.5</v>
      </c>
      <c r="G233" s="89">
        <v>5.5</v>
      </c>
      <c r="H233" s="89">
        <f>Q233</f>
        <v>77.900000000000006</v>
      </c>
      <c r="I233" s="89">
        <v>0</v>
      </c>
      <c r="J233" s="89">
        <v>35.799999999999997</v>
      </c>
      <c r="K233" s="89">
        <v>0</v>
      </c>
      <c r="L233" s="89">
        <v>4.5</v>
      </c>
      <c r="M233" s="89">
        <v>48.3</v>
      </c>
      <c r="N233" s="89">
        <v>40</v>
      </c>
      <c r="O233" s="89">
        <v>23</v>
      </c>
      <c r="P233" s="200">
        <v>0.8</v>
      </c>
      <c r="Q233" s="194">
        <f t="shared" si="94"/>
        <v>77.900000000000006</v>
      </c>
    </row>
    <row r="234" spans="1:18" ht="19.899999999999999" customHeight="1">
      <c r="A234" s="117">
        <v>10</v>
      </c>
      <c r="B234" s="176" t="s">
        <v>280</v>
      </c>
      <c r="C234" s="67" t="s">
        <v>279</v>
      </c>
      <c r="D234" s="68">
        <v>250</v>
      </c>
      <c r="E234" s="201">
        <v>2.89</v>
      </c>
      <c r="F234" s="201">
        <v>2.37</v>
      </c>
      <c r="G234" s="201">
        <v>4.42</v>
      </c>
      <c r="H234" s="89">
        <f t="shared" ref="H234:H240" si="105">Q234</f>
        <v>50.57</v>
      </c>
      <c r="I234" s="201">
        <v>0.1</v>
      </c>
      <c r="J234" s="201">
        <v>6.4</v>
      </c>
      <c r="K234" s="201">
        <v>0</v>
      </c>
      <c r="L234" s="201">
        <v>0.3</v>
      </c>
      <c r="M234" s="201">
        <v>20.399999999999999</v>
      </c>
      <c r="N234" s="201">
        <v>83.5</v>
      </c>
      <c r="O234" s="201">
        <v>23</v>
      </c>
      <c r="P234" s="202">
        <v>1.6</v>
      </c>
      <c r="Q234" s="194">
        <f t="shared" si="94"/>
        <v>50.57</v>
      </c>
    </row>
    <row r="235" spans="1:18" ht="33.6" customHeight="1">
      <c r="A235" s="117">
        <v>10</v>
      </c>
      <c r="B235" s="65" t="s">
        <v>161</v>
      </c>
      <c r="C235" s="94" t="s">
        <v>281</v>
      </c>
      <c r="D235" s="68">
        <v>100</v>
      </c>
      <c r="E235" s="62">
        <v>18.600000000000001</v>
      </c>
      <c r="F235" s="62">
        <v>7.7</v>
      </c>
      <c r="G235" s="62">
        <v>3.9</v>
      </c>
      <c r="H235" s="89">
        <f t="shared" si="105"/>
        <v>159.29999999999998</v>
      </c>
      <c r="I235" s="62">
        <v>0.2</v>
      </c>
      <c r="J235" s="62">
        <v>8.1</v>
      </c>
      <c r="K235" s="62">
        <v>0</v>
      </c>
      <c r="L235" s="62">
        <v>2.7</v>
      </c>
      <c r="M235" s="62">
        <v>91.7</v>
      </c>
      <c r="N235" s="62">
        <v>394.2</v>
      </c>
      <c r="O235" s="62">
        <v>111.7</v>
      </c>
      <c r="P235" s="173">
        <v>1.8</v>
      </c>
      <c r="Q235" s="194">
        <f t="shared" si="94"/>
        <v>159.29999999999998</v>
      </c>
    </row>
    <row r="236" spans="1:18" ht="22.15" customHeight="1">
      <c r="A236" s="117">
        <v>10</v>
      </c>
      <c r="B236" s="176" t="s">
        <v>58</v>
      </c>
      <c r="C236" s="67" t="s">
        <v>51</v>
      </c>
      <c r="D236" s="68">
        <v>180</v>
      </c>
      <c r="E236" s="61">
        <v>2.04</v>
      </c>
      <c r="F236" s="61">
        <v>3.2</v>
      </c>
      <c r="G236" s="61">
        <v>13.63</v>
      </c>
      <c r="H236" s="89">
        <f t="shared" si="105"/>
        <v>91.48</v>
      </c>
      <c r="I236" s="61">
        <v>0.09</v>
      </c>
      <c r="J236" s="61">
        <v>12.11</v>
      </c>
      <c r="K236" s="61">
        <v>0.02</v>
      </c>
      <c r="L236" s="61">
        <v>0.12</v>
      </c>
      <c r="M236" s="61">
        <v>24.65</v>
      </c>
      <c r="N236" s="61">
        <v>57.73</v>
      </c>
      <c r="O236" s="61">
        <v>18.5</v>
      </c>
      <c r="P236" s="178">
        <v>0.67</v>
      </c>
      <c r="Q236" s="194">
        <f t="shared" si="94"/>
        <v>91.48</v>
      </c>
    </row>
    <row r="237" spans="1:18" ht="21" customHeight="1">
      <c r="A237" s="117">
        <v>10</v>
      </c>
      <c r="B237" s="121" t="s">
        <v>149</v>
      </c>
      <c r="C237" s="57" t="s">
        <v>55</v>
      </c>
      <c r="D237" s="123">
        <v>200</v>
      </c>
      <c r="E237" s="63">
        <v>0.14000000000000001</v>
      </c>
      <c r="F237" s="63">
        <v>0.05</v>
      </c>
      <c r="G237" s="63">
        <v>14.44</v>
      </c>
      <c r="H237" s="89">
        <f t="shared" si="105"/>
        <v>58.769999999999996</v>
      </c>
      <c r="I237" s="63">
        <v>0</v>
      </c>
      <c r="J237" s="63">
        <v>9.65</v>
      </c>
      <c r="K237" s="63">
        <v>0</v>
      </c>
      <c r="L237" s="63">
        <v>0.08</v>
      </c>
      <c r="M237" s="63">
        <v>6.83</v>
      </c>
      <c r="N237" s="63">
        <v>3.69</v>
      </c>
      <c r="O237" s="63">
        <v>2.89</v>
      </c>
      <c r="P237" s="151">
        <v>0.23400000000000001</v>
      </c>
      <c r="Q237" s="194">
        <f t="shared" si="94"/>
        <v>58.769999999999996</v>
      </c>
    </row>
    <row r="238" spans="1:18" ht="19.899999999999999" customHeight="1">
      <c r="A238" s="117">
        <v>10</v>
      </c>
      <c r="B238" s="65" t="s">
        <v>57</v>
      </c>
      <c r="C238" s="81" t="s">
        <v>20</v>
      </c>
      <c r="D238" s="68">
        <v>40</v>
      </c>
      <c r="E238" s="79">
        <v>7.6666666666666661</v>
      </c>
      <c r="F238" s="79">
        <v>0.66666666666666674</v>
      </c>
      <c r="G238" s="79">
        <v>49.333333333333336</v>
      </c>
      <c r="H238" s="89">
        <f t="shared" si="105"/>
        <v>234</v>
      </c>
      <c r="I238" s="79">
        <v>0</v>
      </c>
      <c r="J238" s="79">
        <v>0</v>
      </c>
      <c r="K238" s="79">
        <v>0</v>
      </c>
      <c r="L238" s="79">
        <v>1</v>
      </c>
      <c r="M238" s="79">
        <v>20</v>
      </c>
      <c r="N238" s="79">
        <v>65</v>
      </c>
      <c r="O238" s="79">
        <v>14.000000000000002</v>
      </c>
      <c r="P238" s="158">
        <v>1</v>
      </c>
      <c r="Q238" s="194">
        <f t="shared" si="94"/>
        <v>234</v>
      </c>
    </row>
    <row r="239" spans="1:18" ht="17.45" customHeight="1">
      <c r="A239" s="117">
        <v>10</v>
      </c>
      <c r="B239" s="121" t="s">
        <v>150</v>
      </c>
      <c r="C239" s="69" t="s">
        <v>21</v>
      </c>
      <c r="D239" s="60">
        <v>50</v>
      </c>
      <c r="E239" s="79">
        <v>6.5</v>
      </c>
      <c r="F239" s="80">
        <v>1.25</v>
      </c>
      <c r="G239" s="79">
        <v>39.5</v>
      </c>
      <c r="H239" s="89">
        <f t="shared" si="105"/>
        <v>195.25</v>
      </c>
      <c r="I239" s="80">
        <v>0.25</v>
      </c>
      <c r="J239" s="80">
        <v>0</v>
      </c>
      <c r="K239" s="80">
        <v>0</v>
      </c>
      <c r="L239" s="80">
        <v>1.5</v>
      </c>
      <c r="M239" s="80">
        <v>28.999999999999996</v>
      </c>
      <c r="N239" s="80">
        <v>150</v>
      </c>
      <c r="O239" s="80">
        <v>47</v>
      </c>
      <c r="P239" s="159">
        <v>4</v>
      </c>
      <c r="Q239" s="194">
        <f t="shared" si="94"/>
        <v>195.25</v>
      </c>
    </row>
    <row r="240" spans="1:18" ht="18.75">
      <c r="A240" s="117">
        <v>9</v>
      </c>
      <c r="B240" s="76"/>
      <c r="C240" s="57" t="s">
        <v>216</v>
      </c>
      <c r="D240" s="228">
        <v>150</v>
      </c>
      <c r="E240" s="63">
        <v>0.4</v>
      </c>
      <c r="F240" s="70">
        <v>0.4</v>
      </c>
      <c r="G240" s="63">
        <v>9.8000000000000007</v>
      </c>
      <c r="H240" s="61">
        <f t="shared" si="105"/>
        <v>44.400000000000006</v>
      </c>
      <c r="I240" s="70">
        <v>0.03</v>
      </c>
      <c r="J240" s="70">
        <v>10</v>
      </c>
      <c r="K240" s="70">
        <v>0</v>
      </c>
      <c r="L240" s="70">
        <v>0.2</v>
      </c>
      <c r="M240" s="70">
        <v>16</v>
      </c>
      <c r="N240" s="70">
        <v>11</v>
      </c>
      <c r="O240" s="70">
        <v>9</v>
      </c>
      <c r="P240" s="153">
        <v>2.2000000000000002</v>
      </c>
      <c r="Q240" s="194">
        <f t="shared" si="94"/>
        <v>44.400000000000006</v>
      </c>
    </row>
    <row r="241" spans="1:17" ht="18.75">
      <c r="A241" s="117">
        <v>10</v>
      </c>
      <c r="B241" s="121"/>
      <c r="C241" s="121" t="s">
        <v>18</v>
      </c>
      <c r="D241" s="60">
        <f>D233+D234+100+25+D236+D237+D238+D239</f>
        <v>945</v>
      </c>
      <c r="E241" s="124">
        <f>SUM(E233:E234,E235:E239)</f>
        <v>39.436666666666667</v>
      </c>
      <c r="F241" s="124">
        <f t="shared" ref="F241:P241" si="106">SUM(F233:F234,F235:F239)</f>
        <v>20.736666666666668</v>
      </c>
      <c r="G241" s="124">
        <f t="shared" si="106"/>
        <v>130.72333333333333</v>
      </c>
      <c r="H241" s="124">
        <f t="shared" si="106"/>
        <v>867.27</v>
      </c>
      <c r="I241" s="124">
        <f t="shared" si="106"/>
        <v>0.64</v>
      </c>
      <c r="J241" s="124">
        <f t="shared" si="106"/>
        <v>72.06</v>
      </c>
      <c r="K241" s="124">
        <f t="shared" si="106"/>
        <v>0.02</v>
      </c>
      <c r="L241" s="124">
        <f t="shared" si="106"/>
        <v>10.199999999999999</v>
      </c>
      <c r="M241" s="124">
        <f t="shared" si="106"/>
        <v>240.88</v>
      </c>
      <c r="N241" s="124">
        <f t="shared" si="106"/>
        <v>794.12000000000012</v>
      </c>
      <c r="O241" s="124">
        <f t="shared" si="106"/>
        <v>240.08999999999997</v>
      </c>
      <c r="P241" s="124">
        <f t="shared" si="106"/>
        <v>10.103999999999999</v>
      </c>
      <c r="Q241" s="194">
        <f t="shared" si="94"/>
        <v>867.27</v>
      </c>
    </row>
    <row r="242" spans="1:17" ht="18.75">
      <c r="A242" s="117">
        <v>10</v>
      </c>
      <c r="B242" s="247" t="s">
        <v>22</v>
      </c>
      <c r="C242" s="247"/>
      <c r="D242" s="247"/>
      <c r="E242" s="247"/>
      <c r="F242" s="247"/>
      <c r="G242" s="247"/>
      <c r="H242" s="247"/>
      <c r="I242" s="247"/>
      <c r="J242" s="247"/>
      <c r="K242" s="247"/>
      <c r="L242" s="247"/>
      <c r="M242" s="247"/>
      <c r="N242" s="247"/>
      <c r="O242" s="247"/>
      <c r="P242" s="248"/>
      <c r="Q242" s="194">
        <f t="shared" si="94"/>
        <v>0</v>
      </c>
    </row>
    <row r="243" spans="1:17" ht="37.5">
      <c r="A243" s="117">
        <v>10</v>
      </c>
      <c r="B243" s="121" t="s">
        <v>156</v>
      </c>
      <c r="C243" s="57" t="s">
        <v>171</v>
      </c>
      <c r="D243" s="123">
        <v>100</v>
      </c>
      <c r="E243" s="62">
        <v>12.86</v>
      </c>
      <c r="F243" s="62">
        <v>12.88</v>
      </c>
      <c r="G243" s="62">
        <v>16.38</v>
      </c>
      <c r="H243" s="61">
        <f>Q243</f>
        <v>232.88</v>
      </c>
      <c r="I243" s="62">
        <v>7.0000000000000007E-2</v>
      </c>
      <c r="J243" s="62">
        <v>3</v>
      </c>
      <c r="K243" s="62">
        <v>82.5</v>
      </c>
      <c r="L243" s="62">
        <v>0.81</v>
      </c>
      <c r="M243" s="62">
        <v>236.94</v>
      </c>
      <c r="N243" s="62">
        <v>192.1</v>
      </c>
      <c r="O243" s="62">
        <v>21.05</v>
      </c>
      <c r="P243" s="143">
        <v>1.2</v>
      </c>
      <c r="Q243" s="194">
        <f t="shared" si="94"/>
        <v>232.88</v>
      </c>
    </row>
    <row r="244" spans="1:17" ht="23.45" customHeight="1">
      <c r="A244" s="117">
        <v>9</v>
      </c>
      <c r="B244" s="121" t="s">
        <v>149</v>
      </c>
      <c r="C244" s="57" t="s">
        <v>55</v>
      </c>
      <c r="D244" s="123">
        <v>200</v>
      </c>
      <c r="E244" s="63">
        <v>0.14000000000000001</v>
      </c>
      <c r="F244" s="63">
        <v>0.05</v>
      </c>
      <c r="G244" s="63">
        <v>14.44</v>
      </c>
      <c r="H244" s="61">
        <f>Q244</f>
        <v>58.769999999999996</v>
      </c>
      <c r="I244" s="63">
        <v>0</v>
      </c>
      <c r="J244" s="63">
        <v>9.65</v>
      </c>
      <c r="K244" s="63">
        <v>0</v>
      </c>
      <c r="L244" s="63">
        <v>0.08</v>
      </c>
      <c r="M244" s="63">
        <v>6.83</v>
      </c>
      <c r="N244" s="63">
        <v>3.69</v>
      </c>
      <c r="O244" s="63">
        <v>2.89</v>
      </c>
      <c r="P244" s="151">
        <v>0.23400000000000001</v>
      </c>
      <c r="Q244" s="194">
        <f t="shared" si="94"/>
        <v>58.769999999999996</v>
      </c>
    </row>
    <row r="245" spans="1:17" ht="18.75">
      <c r="A245" s="117">
        <v>7</v>
      </c>
      <c r="B245" s="121"/>
      <c r="C245" s="121" t="s">
        <v>18</v>
      </c>
      <c r="D245" s="123">
        <f>SUM(D243:D244)</f>
        <v>300</v>
      </c>
      <c r="E245" s="124">
        <f>SUM(E243:E244)</f>
        <v>13</v>
      </c>
      <c r="F245" s="124">
        <f t="shared" ref="F245:P245" si="107">SUM(F243:F244)</f>
        <v>12.930000000000001</v>
      </c>
      <c r="G245" s="124">
        <f t="shared" si="107"/>
        <v>30.82</v>
      </c>
      <c r="H245" s="124">
        <f t="shared" si="107"/>
        <v>291.64999999999998</v>
      </c>
      <c r="I245" s="124">
        <f t="shared" si="107"/>
        <v>7.0000000000000007E-2</v>
      </c>
      <c r="J245" s="124">
        <f t="shared" si="107"/>
        <v>12.65</v>
      </c>
      <c r="K245" s="124">
        <f t="shared" si="107"/>
        <v>82.5</v>
      </c>
      <c r="L245" s="124">
        <f t="shared" si="107"/>
        <v>0.89</v>
      </c>
      <c r="M245" s="124">
        <f t="shared" si="107"/>
        <v>243.77</v>
      </c>
      <c r="N245" s="124">
        <f t="shared" si="107"/>
        <v>195.79</v>
      </c>
      <c r="O245" s="124">
        <f t="shared" si="107"/>
        <v>23.94</v>
      </c>
      <c r="P245" s="154">
        <f t="shared" si="107"/>
        <v>1.4339999999999999</v>
      </c>
      <c r="Q245" s="194">
        <f t="shared" si="94"/>
        <v>291.64999999999998</v>
      </c>
    </row>
    <row r="246" spans="1:17" ht="18.75">
      <c r="A246" s="117">
        <v>10</v>
      </c>
      <c r="B246" s="121"/>
      <c r="C246" s="121" t="s">
        <v>34</v>
      </c>
      <c r="D246" s="123">
        <f t="shared" ref="D246:P246" si="108">D231+D241+D245</f>
        <v>1705</v>
      </c>
      <c r="E246" s="124">
        <f t="shared" si="108"/>
        <v>69.771904761904764</v>
      </c>
      <c r="F246" s="124">
        <f t="shared" si="108"/>
        <v>111.77190476190476</v>
      </c>
      <c r="G246" s="124">
        <f t="shared" si="108"/>
        <v>249.2742857142857</v>
      </c>
      <c r="H246" s="124">
        <f t="shared" si="108"/>
        <v>2282.1319047619049</v>
      </c>
      <c r="I246" s="124">
        <f t="shared" si="108"/>
        <v>1.0154761904761906</v>
      </c>
      <c r="J246" s="124">
        <f t="shared" si="108"/>
        <v>88.900476190476198</v>
      </c>
      <c r="K246" s="124">
        <f t="shared" si="108"/>
        <v>82.949523809523811</v>
      </c>
      <c r="L246" s="124">
        <f t="shared" si="108"/>
        <v>12.78047619047619</v>
      </c>
      <c r="M246" s="124">
        <f t="shared" si="108"/>
        <v>623.62857142857138</v>
      </c>
      <c r="N246" s="124">
        <f t="shared" si="108"/>
        <v>1173.1338095238095</v>
      </c>
      <c r="O246" s="124">
        <f t="shared" si="108"/>
        <v>383.81095238095236</v>
      </c>
      <c r="P246" s="154">
        <f t="shared" si="108"/>
        <v>14.770857142857141</v>
      </c>
      <c r="Q246" s="194">
        <f t="shared" si="94"/>
        <v>2282.1319047619049</v>
      </c>
    </row>
    <row r="247" spans="1:17" ht="18.75">
      <c r="A247" s="117"/>
      <c r="B247" s="197"/>
      <c r="C247" s="57"/>
      <c r="D247" s="198"/>
      <c r="E247" s="169"/>
      <c r="F247" s="197"/>
      <c r="G247" s="169"/>
      <c r="H247" s="169"/>
      <c r="I247" s="197"/>
      <c r="J247" s="197"/>
      <c r="K247" s="197"/>
      <c r="L247" s="197"/>
      <c r="M247" s="197"/>
      <c r="N247" s="197"/>
      <c r="O247" s="197"/>
      <c r="P247" s="199"/>
      <c r="Q247" s="194">
        <f t="shared" si="94"/>
        <v>0</v>
      </c>
    </row>
    <row r="248" spans="1:17">
      <c r="A248" s="117"/>
      <c r="B248" s="104"/>
      <c r="C248" s="52"/>
      <c r="D248" s="119"/>
      <c r="E248" s="26"/>
      <c r="F248" s="104"/>
      <c r="G248" s="26"/>
      <c r="H248" s="26"/>
      <c r="I248" s="104"/>
      <c r="J248" s="104"/>
      <c r="K248" s="104"/>
      <c r="L248" s="104"/>
      <c r="M248" s="104"/>
      <c r="N248" s="104"/>
      <c r="O248" s="104"/>
      <c r="P248" s="161"/>
    </row>
    <row r="249" spans="1:17">
      <c r="A249" s="117"/>
      <c r="B249" s="104"/>
      <c r="C249" s="52"/>
      <c r="D249" s="119"/>
      <c r="E249" s="26"/>
      <c r="F249" s="104"/>
      <c r="G249" s="26"/>
      <c r="H249" s="26"/>
      <c r="I249" s="104"/>
      <c r="J249" s="104"/>
      <c r="K249" s="104"/>
      <c r="L249" s="104"/>
      <c r="M249" s="104"/>
      <c r="N249" s="104"/>
      <c r="O249" s="104"/>
      <c r="P249" s="161"/>
    </row>
    <row r="250" spans="1:17">
      <c r="A250" s="117"/>
      <c r="B250" s="104"/>
      <c r="C250" s="52"/>
      <c r="D250" s="119"/>
      <c r="E250" s="26"/>
      <c r="F250" s="104"/>
      <c r="G250" s="26"/>
      <c r="H250" s="26"/>
      <c r="I250" s="104"/>
      <c r="J250" s="104"/>
      <c r="K250" s="104"/>
      <c r="L250" s="104"/>
      <c r="M250" s="104"/>
      <c r="N250" s="104"/>
      <c r="O250" s="104"/>
      <c r="P250" s="161"/>
    </row>
    <row r="251" spans="1:17">
      <c r="A251" s="162"/>
      <c r="B251" s="163"/>
      <c r="C251" s="164"/>
      <c r="D251" s="165"/>
      <c r="E251" s="166"/>
      <c r="F251" s="163"/>
      <c r="G251" s="166"/>
      <c r="H251" s="166"/>
      <c r="I251" s="163"/>
      <c r="J251" s="163"/>
      <c r="K251" s="163"/>
      <c r="L251" s="163"/>
      <c r="M251" s="163"/>
      <c r="N251" s="163"/>
      <c r="O251" s="163"/>
      <c r="P251" s="167"/>
    </row>
  </sheetData>
  <mergeCells count="37">
    <mergeCell ref="B129:P129"/>
    <mergeCell ref="B169:P169"/>
    <mergeCell ref="B175:P175"/>
    <mergeCell ref="B232:P232"/>
    <mergeCell ref="B242:P242"/>
    <mergeCell ref="B195:P195"/>
    <mergeCell ref="B200:P200"/>
    <mergeCell ref="B206:P206"/>
    <mergeCell ref="B217:P217"/>
    <mergeCell ref="B223:P223"/>
    <mergeCell ref="B180:P180"/>
    <mergeCell ref="B146:P146"/>
    <mergeCell ref="B152:P152"/>
    <mergeCell ref="B160:P160"/>
    <mergeCell ref="B135:P135"/>
    <mergeCell ref="B87:P87"/>
    <mergeCell ref="B97:P97"/>
    <mergeCell ref="B104:P104"/>
    <mergeCell ref="B110:P110"/>
    <mergeCell ref="B121:P121"/>
    <mergeCell ref="B50:P50"/>
    <mergeCell ref="B55:P55"/>
    <mergeCell ref="B64:P64"/>
    <mergeCell ref="B75:P75"/>
    <mergeCell ref="B80:P80"/>
    <mergeCell ref="B38:P38"/>
    <mergeCell ref="B2:B3"/>
    <mergeCell ref="C2:C3"/>
    <mergeCell ref="D2:D3"/>
    <mergeCell ref="E2:G2"/>
    <mergeCell ref="H2:H3"/>
    <mergeCell ref="I2:L2"/>
    <mergeCell ref="M2:P2"/>
    <mergeCell ref="B4:P4"/>
    <mergeCell ref="B13:P13"/>
    <mergeCell ref="B25:P25"/>
    <mergeCell ref="B30:P30"/>
  </mergeCells>
  <pageMargins left="0.7" right="0.7" top="0.75" bottom="0.75" header="0.3" footer="0.3"/>
  <pageSetup paperSize="9" scale="72" fitToWidth="0" fitToHeight="0" orientation="landscape" verticalDpi="0" r:id="rId1"/>
  <rowBreaks count="9" manualBreakCount="9">
    <brk id="29" max="16383" man="1"/>
    <brk id="54" max="16383" man="1"/>
    <brk id="79" max="16383" man="1"/>
    <brk id="103" max="16383" man="1"/>
    <brk id="128" max="16383" man="1"/>
    <brk id="151" max="16383" man="1"/>
    <brk id="174" max="16383" man="1"/>
    <brk id="199" max="16383" man="1"/>
    <brk id="22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80"/>
  <sheetViews>
    <sheetView tabSelected="1" topLeftCell="B1" zoomScale="90" zoomScaleNormal="90" workbookViewId="0">
      <selection activeCell="E217" sqref="E217"/>
    </sheetView>
  </sheetViews>
  <sheetFormatPr defaultColWidth="9.140625" defaultRowHeight="15.75"/>
  <cols>
    <col min="1" max="1" width="0" style="40" hidden="1" customWidth="1"/>
    <col min="2" max="2" width="14.7109375" style="40" customWidth="1"/>
    <col min="3" max="3" width="51" style="40" customWidth="1"/>
    <col min="4" max="4" width="12.42578125" style="240" customWidth="1"/>
    <col min="5" max="5" width="11.28515625" style="40" customWidth="1"/>
    <col min="6" max="6" width="11.5703125" style="40" customWidth="1"/>
    <col min="7" max="7" width="13" style="40" customWidth="1"/>
    <col min="8" max="8" width="14.28515625" style="40" customWidth="1"/>
    <col min="9" max="9" width="10.5703125" style="40" customWidth="1"/>
    <col min="10" max="10" width="8.85546875" style="40" customWidth="1"/>
    <col min="11" max="11" width="9.85546875" style="40" customWidth="1"/>
    <col min="12" max="12" width="7.85546875" style="40" customWidth="1"/>
    <col min="13" max="13" width="10.28515625" style="40" customWidth="1"/>
    <col min="14" max="14" width="11.28515625" style="40" customWidth="1"/>
    <col min="15" max="15" width="10.7109375" style="40" customWidth="1"/>
    <col min="16" max="16" width="7.85546875" style="40" customWidth="1"/>
    <col min="17" max="17" width="9" style="40" customWidth="1"/>
    <col min="18" max="16384" width="9.140625" style="40"/>
  </cols>
  <sheetData>
    <row r="1" spans="1:16" s="36" customFormat="1">
      <c r="B1" s="37" t="s">
        <v>134</v>
      </c>
      <c r="C1" s="38"/>
      <c r="D1" s="234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</row>
    <row r="2" spans="1:16" s="36" customFormat="1">
      <c r="B2" s="206" t="s">
        <v>135</v>
      </c>
      <c r="C2" s="38"/>
      <c r="D2" s="234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</row>
    <row r="3" spans="1:16" s="36" customFormat="1">
      <c r="B3" s="206" t="s">
        <v>196</v>
      </c>
      <c r="C3" s="38"/>
      <c r="D3" s="234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</row>
    <row r="4" spans="1:16" ht="46.5" customHeight="1">
      <c r="B4" s="255" t="s">
        <v>0</v>
      </c>
      <c r="C4" s="255" t="s">
        <v>1</v>
      </c>
      <c r="D4" s="258" t="s">
        <v>2</v>
      </c>
      <c r="E4" s="255" t="s">
        <v>3</v>
      </c>
      <c r="F4" s="255"/>
      <c r="G4" s="255"/>
      <c r="H4" s="255" t="s">
        <v>4</v>
      </c>
      <c r="I4" s="255" t="s">
        <v>5</v>
      </c>
      <c r="J4" s="255"/>
      <c r="K4" s="255"/>
      <c r="L4" s="255"/>
      <c r="M4" s="255" t="s">
        <v>6</v>
      </c>
      <c r="N4" s="255"/>
      <c r="O4" s="255"/>
      <c r="P4" s="255"/>
    </row>
    <row r="5" spans="1:16" ht="15.6" customHeight="1">
      <c r="B5" s="255"/>
      <c r="C5" s="255"/>
      <c r="D5" s="258"/>
      <c r="E5" s="170" t="s">
        <v>7</v>
      </c>
      <c r="F5" s="170" t="s">
        <v>8</v>
      </c>
      <c r="G5" s="170" t="s">
        <v>9</v>
      </c>
      <c r="H5" s="255"/>
      <c r="I5" s="170" t="s">
        <v>136</v>
      </c>
      <c r="J5" s="170" t="s">
        <v>10</v>
      </c>
      <c r="K5" s="170" t="s">
        <v>11</v>
      </c>
      <c r="L5" s="170" t="s">
        <v>12</v>
      </c>
      <c r="M5" s="170" t="s">
        <v>13</v>
      </c>
      <c r="N5" s="170" t="s">
        <v>14</v>
      </c>
      <c r="O5" s="170" t="s">
        <v>15</v>
      </c>
      <c r="P5" s="170" t="s">
        <v>16</v>
      </c>
    </row>
    <row r="6" spans="1:16">
      <c r="B6" s="255" t="s">
        <v>17</v>
      </c>
      <c r="C6" s="255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</row>
    <row r="7" spans="1:16" ht="30.6" customHeight="1">
      <c r="A7" s="40">
        <v>1</v>
      </c>
      <c r="B7" s="170" t="s">
        <v>201</v>
      </c>
      <c r="C7" s="55" t="s">
        <v>175</v>
      </c>
      <c r="D7" s="50" t="s">
        <v>242</v>
      </c>
      <c r="E7" s="56">
        <v>11.278048780487804</v>
      </c>
      <c r="F7" s="56">
        <v>13.200000000000001</v>
      </c>
      <c r="G7" s="56">
        <v>45.487804878048784</v>
      </c>
      <c r="H7" s="56">
        <v>345.46829268292686</v>
      </c>
      <c r="I7" s="56">
        <v>5.9024390243902436E-2</v>
      </c>
      <c r="J7" s="56">
        <v>6.2439024390243913</v>
      </c>
      <c r="K7" s="56">
        <v>0.4097560975609757</v>
      </c>
      <c r="L7" s="56">
        <v>2</v>
      </c>
      <c r="M7" s="56">
        <v>170.20487804878047</v>
      </c>
      <c r="N7" s="56">
        <v>185.26829268292684</v>
      </c>
      <c r="O7" s="56">
        <v>39.180487804878048</v>
      </c>
      <c r="P7" s="56">
        <v>0.59512195121951228</v>
      </c>
    </row>
    <row r="8" spans="1:16" ht="20.100000000000001" customHeight="1">
      <c r="A8" s="40">
        <v>1</v>
      </c>
      <c r="B8" s="170" t="s">
        <v>98</v>
      </c>
      <c r="C8" s="55" t="s">
        <v>24</v>
      </c>
      <c r="D8" s="50">
        <v>40</v>
      </c>
      <c r="E8" s="56">
        <v>2.4</v>
      </c>
      <c r="F8" s="56">
        <v>7.4999999999999997E-2</v>
      </c>
      <c r="G8" s="56">
        <v>15.9</v>
      </c>
      <c r="H8" s="56">
        <v>73.875</v>
      </c>
      <c r="I8" s="56">
        <v>0.06</v>
      </c>
      <c r="J8" s="56">
        <v>1.2</v>
      </c>
      <c r="K8" s="56">
        <v>0</v>
      </c>
      <c r="L8" s="56">
        <v>0</v>
      </c>
      <c r="M8" s="56">
        <v>11.4</v>
      </c>
      <c r="N8" s="56">
        <v>39</v>
      </c>
      <c r="O8" s="56">
        <v>7.8000000000000007</v>
      </c>
      <c r="P8" s="56">
        <v>0.75</v>
      </c>
    </row>
    <row r="9" spans="1:16" ht="20.100000000000001" customHeight="1">
      <c r="A9" s="40">
        <v>1</v>
      </c>
      <c r="B9" s="170" t="s">
        <v>192</v>
      </c>
      <c r="C9" s="55" t="s">
        <v>26</v>
      </c>
      <c r="D9" s="50" t="s">
        <v>110</v>
      </c>
      <c r="E9" s="56">
        <v>0.08</v>
      </c>
      <c r="F9" s="56">
        <v>0.02</v>
      </c>
      <c r="G9" s="56">
        <v>15</v>
      </c>
      <c r="H9" s="56">
        <v>60.5</v>
      </c>
      <c r="I9" s="56">
        <v>0</v>
      </c>
      <c r="J9" s="56">
        <v>0</v>
      </c>
      <c r="K9" s="56">
        <v>0.04</v>
      </c>
      <c r="L9" s="56">
        <v>0</v>
      </c>
      <c r="M9" s="56">
        <v>11.1</v>
      </c>
      <c r="N9" s="56">
        <v>1.4</v>
      </c>
      <c r="O9" s="56">
        <v>2.8</v>
      </c>
      <c r="P9" s="56">
        <v>0.28000000000000003</v>
      </c>
    </row>
    <row r="10" spans="1:16" ht="16.899999999999999" customHeight="1">
      <c r="A10" s="40">
        <v>1</v>
      </c>
      <c r="B10" s="170"/>
      <c r="C10" s="55" t="s">
        <v>193</v>
      </c>
      <c r="D10" s="50">
        <v>38</v>
      </c>
      <c r="E10" s="56">
        <v>1.254</v>
      </c>
      <c r="F10" s="56">
        <v>1.482</v>
      </c>
      <c r="G10" s="56">
        <v>7.9572000000000003</v>
      </c>
      <c r="H10" s="56">
        <v>50.1828</v>
      </c>
      <c r="I10" s="56">
        <v>7.6E-3</v>
      </c>
      <c r="J10" s="56">
        <v>1.9E-2</v>
      </c>
      <c r="K10" s="56">
        <v>2.2799999999999997E-2</v>
      </c>
      <c r="L10" s="56">
        <v>0.95760000000000001</v>
      </c>
      <c r="M10" s="56">
        <v>6.9996000000000009</v>
      </c>
      <c r="N10" s="56">
        <v>13.079600000000001</v>
      </c>
      <c r="O10" s="56">
        <v>1.4591999999999998</v>
      </c>
      <c r="P10" s="56">
        <v>0.15959999999999999</v>
      </c>
    </row>
    <row r="11" spans="1:16" ht="16.899999999999999" customHeight="1">
      <c r="B11" s="170" t="s">
        <v>202</v>
      </c>
      <c r="C11" s="55" t="s">
        <v>111</v>
      </c>
      <c r="D11" s="50">
        <v>10</v>
      </c>
      <c r="E11" s="56">
        <v>0.08</v>
      </c>
      <c r="F11" s="56">
        <v>7.25</v>
      </c>
      <c r="G11" s="56">
        <v>0.13</v>
      </c>
      <c r="H11" s="56">
        <v>66.09</v>
      </c>
      <c r="I11" s="56">
        <v>1E-3</v>
      </c>
      <c r="J11" s="56">
        <v>0</v>
      </c>
      <c r="K11" s="56">
        <v>0.04</v>
      </c>
      <c r="L11" s="56">
        <v>0.1</v>
      </c>
      <c r="M11" s="56">
        <v>2.4</v>
      </c>
      <c r="N11" s="56">
        <v>3</v>
      </c>
      <c r="O11" s="56">
        <v>0</v>
      </c>
      <c r="P11" s="56">
        <v>0.02</v>
      </c>
    </row>
    <row r="12" spans="1:16" ht="18" customHeight="1">
      <c r="A12" s="40">
        <v>1</v>
      </c>
      <c r="B12" s="170"/>
      <c r="C12" s="170" t="s">
        <v>18</v>
      </c>
      <c r="D12" s="50"/>
      <c r="E12" s="170">
        <f>SUM(E7:E11)</f>
        <v>15.092048780487804</v>
      </c>
      <c r="F12" s="244">
        <f t="shared" ref="F12:P12" si="0">SUM(F7:F11)</f>
        <v>22.027000000000001</v>
      </c>
      <c r="G12" s="244">
        <f t="shared" si="0"/>
        <v>84.475004878048779</v>
      </c>
      <c r="H12" s="244">
        <f t="shared" si="0"/>
        <v>596.11609268292693</v>
      </c>
      <c r="I12" s="244">
        <f t="shared" si="0"/>
        <v>0.12762439024390243</v>
      </c>
      <c r="J12" s="244">
        <f t="shared" si="0"/>
        <v>7.4629024390243917</v>
      </c>
      <c r="K12" s="244">
        <f t="shared" si="0"/>
        <v>0.51255609756097564</v>
      </c>
      <c r="L12" s="244">
        <f t="shared" si="0"/>
        <v>3.0576000000000003</v>
      </c>
      <c r="M12" s="244">
        <f t="shared" si="0"/>
        <v>202.10447804878046</v>
      </c>
      <c r="N12" s="244">
        <f t="shared" si="0"/>
        <v>241.74789268292685</v>
      </c>
      <c r="O12" s="244">
        <f t="shared" si="0"/>
        <v>51.239687804878052</v>
      </c>
      <c r="P12" s="244">
        <f t="shared" si="0"/>
        <v>1.8047219512195123</v>
      </c>
    </row>
    <row r="13" spans="1:16" ht="15.95" customHeight="1">
      <c r="A13" s="40">
        <v>1</v>
      </c>
      <c r="B13" s="255" t="s">
        <v>19</v>
      </c>
      <c r="C13" s="255"/>
      <c r="D13" s="255"/>
      <c r="E13" s="255"/>
      <c r="F13" s="255"/>
      <c r="G13" s="255"/>
      <c r="H13" s="255"/>
      <c r="I13" s="255"/>
      <c r="J13" s="255"/>
      <c r="K13" s="255"/>
      <c r="L13" s="255"/>
      <c r="M13" s="255"/>
      <c r="N13" s="255"/>
      <c r="O13" s="255"/>
      <c r="P13" s="255"/>
    </row>
    <row r="14" spans="1:16" ht="20.100000000000001" customHeight="1">
      <c r="B14" s="245" t="s">
        <v>158</v>
      </c>
      <c r="C14" s="55" t="s">
        <v>212</v>
      </c>
      <c r="D14" s="245">
        <v>100</v>
      </c>
      <c r="E14" s="44">
        <v>1.5</v>
      </c>
      <c r="F14" s="44">
        <v>5.0999999999999996</v>
      </c>
      <c r="G14" s="44">
        <v>4.5999999999999996</v>
      </c>
      <c r="H14" s="44">
        <v>70.3</v>
      </c>
      <c r="I14" s="44">
        <v>0</v>
      </c>
      <c r="J14" s="44">
        <v>33</v>
      </c>
      <c r="K14" s="44">
        <v>0</v>
      </c>
      <c r="L14" s="44">
        <v>3.9</v>
      </c>
      <c r="M14" s="44">
        <v>43.6</v>
      </c>
      <c r="N14" s="44">
        <v>35</v>
      </c>
      <c r="O14" s="44">
        <v>18.5</v>
      </c>
      <c r="P14" s="44">
        <v>0.6</v>
      </c>
    </row>
    <row r="15" spans="1:16" ht="33" customHeight="1">
      <c r="A15" s="40">
        <v>1</v>
      </c>
      <c r="B15" s="170" t="s">
        <v>54</v>
      </c>
      <c r="C15" s="55" t="s">
        <v>299</v>
      </c>
      <c r="D15" s="50" t="s">
        <v>195</v>
      </c>
      <c r="E15" s="41">
        <v>5</v>
      </c>
      <c r="F15" s="41">
        <v>7.5</v>
      </c>
      <c r="G15" s="41">
        <v>26.843023255813954</v>
      </c>
      <c r="H15" s="41">
        <v>194.87209302325581</v>
      </c>
      <c r="I15" s="41">
        <v>0.79825581395348844</v>
      </c>
      <c r="J15" s="41">
        <v>5.6976744186046515</v>
      </c>
      <c r="K15" s="41">
        <v>1.7441860465116281</v>
      </c>
      <c r="L15" s="41">
        <v>3.2383720930232562</v>
      </c>
      <c r="M15" s="41">
        <v>45.808139534883729</v>
      </c>
      <c r="N15" s="41">
        <v>175.63953488372096</v>
      </c>
      <c r="O15" s="41">
        <v>53.953488372093027</v>
      </c>
      <c r="P15" s="41">
        <v>3.412790697674418</v>
      </c>
    </row>
    <row r="16" spans="1:16" ht="20.100000000000001" customHeight="1">
      <c r="A16" s="40">
        <v>1</v>
      </c>
      <c r="B16" s="170" t="s">
        <v>207</v>
      </c>
      <c r="C16" s="55" t="s">
        <v>174</v>
      </c>
      <c r="D16" s="50" t="s">
        <v>185</v>
      </c>
      <c r="E16" s="41">
        <v>14.847000000000001</v>
      </c>
      <c r="F16" s="41">
        <v>16.988999999999997</v>
      </c>
      <c r="G16" s="41">
        <v>26.6608695652174</v>
      </c>
      <c r="H16" s="41">
        <v>337.22347826086957</v>
      </c>
      <c r="I16" s="41">
        <v>7.3043478260869585E-2</v>
      </c>
      <c r="J16" s="41">
        <v>0.73043478260869577</v>
      </c>
      <c r="K16" s="41">
        <v>0</v>
      </c>
      <c r="L16" s="41">
        <v>2.054347826086957</v>
      </c>
      <c r="M16" s="41">
        <v>23.00869565217392</v>
      </c>
      <c r="N16" s="41">
        <v>38.521304347826089</v>
      </c>
      <c r="O16" s="41">
        <v>165.0052173913044</v>
      </c>
      <c r="P16" s="41">
        <v>2.4926086956521742</v>
      </c>
    </row>
    <row r="17" spans="1:16" ht="20.100000000000001" customHeight="1">
      <c r="A17" s="40">
        <v>1</v>
      </c>
      <c r="B17" s="170" t="s">
        <v>149</v>
      </c>
      <c r="C17" s="55" t="s">
        <v>55</v>
      </c>
      <c r="D17" s="50">
        <v>200</v>
      </c>
      <c r="E17" s="41">
        <v>0.28000000000000003</v>
      </c>
      <c r="F17" s="41">
        <v>0.1</v>
      </c>
      <c r="G17" s="41">
        <v>28.88</v>
      </c>
      <c r="H17" s="41">
        <v>117.54</v>
      </c>
      <c r="I17" s="41">
        <v>0</v>
      </c>
      <c r="J17" s="41">
        <v>19.3</v>
      </c>
      <c r="K17" s="41">
        <v>0</v>
      </c>
      <c r="L17" s="41">
        <v>0.16</v>
      </c>
      <c r="M17" s="41">
        <v>13.66</v>
      </c>
      <c r="N17" s="41">
        <v>7.38</v>
      </c>
      <c r="O17" s="41">
        <v>5.78</v>
      </c>
      <c r="P17" s="41">
        <v>0.46800000000000003</v>
      </c>
    </row>
    <row r="18" spans="1:16" ht="20.100000000000001" customHeight="1">
      <c r="A18" s="40">
        <v>1</v>
      </c>
      <c r="B18" s="170" t="s">
        <v>57</v>
      </c>
      <c r="C18" s="55" t="s">
        <v>20</v>
      </c>
      <c r="D18" s="50">
        <v>40</v>
      </c>
      <c r="E18" s="41">
        <v>3.0666666666666664</v>
      </c>
      <c r="F18" s="41">
        <v>0.26666666666666672</v>
      </c>
      <c r="G18" s="41">
        <v>19.733333333333334</v>
      </c>
      <c r="H18" s="41">
        <v>93.6</v>
      </c>
      <c r="I18" s="41">
        <v>0</v>
      </c>
      <c r="J18" s="41">
        <v>0</v>
      </c>
      <c r="K18" s="41">
        <v>0</v>
      </c>
      <c r="L18" s="41">
        <v>0.4</v>
      </c>
      <c r="M18" s="41">
        <v>8</v>
      </c>
      <c r="N18" s="41">
        <v>26</v>
      </c>
      <c r="O18" s="41">
        <v>5.6000000000000014</v>
      </c>
      <c r="P18" s="41">
        <v>0.4</v>
      </c>
    </row>
    <row r="19" spans="1:16" ht="20.100000000000001" customHeight="1">
      <c r="A19" s="40">
        <v>1</v>
      </c>
      <c r="B19" s="170" t="s">
        <v>150</v>
      </c>
      <c r="C19" s="55" t="s">
        <v>21</v>
      </c>
      <c r="D19" s="50">
        <v>50</v>
      </c>
      <c r="E19" s="41">
        <v>3.25</v>
      </c>
      <c r="F19" s="41">
        <v>0.625</v>
      </c>
      <c r="G19" s="41">
        <v>19.75</v>
      </c>
      <c r="H19" s="41">
        <v>97.625</v>
      </c>
      <c r="I19" s="41">
        <v>0.125</v>
      </c>
      <c r="J19" s="41">
        <v>0</v>
      </c>
      <c r="K19" s="41">
        <v>0</v>
      </c>
      <c r="L19" s="41">
        <v>0.75</v>
      </c>
      <c r="M19" s="41">
        <v>14.5</v>
      </c>
      <c r="N19" s="41">
        <v>75</v>
      </c>
      <c r="O19" s="41">
        <v>23.5</v>
      </c>
      <c r="P19" s="41">
        <v>2</v>
      </c>
    </row>
    <row r="20" spans="1:16" ht="13.9" customHeight="1">
      <c r="A20" s="40">
        <v>1</v>
      </c>
      <c r="B20" s="170"/>
      <c r="C20" s="170" t="s">
        <v>18</v>
      </c>
      <c r="D20" s="50"/>
      <c r="E20" s="170">
        <f>SUM(E14:E19)</f>
        <v>27.943666666666669</v>
      </c>
      <c r="F20" s="244">
        <f t="shared" ref="F20:P20" si="1">SUM(F14:F19)</f>
        <v>30.580666666666666</v>
      </c>
      <c r="G20" s="244">
        <f t="shared" si="1"/>
        <v>126.46722615436468</v>
      </c>
      <c r="H20" s="244">
        <f t="shared" si="1"/>
        <v>911.16057128412535</v>
      </c>
      <c r="I20" s="244">
        <f t="shared" si="1"/>
        <v>0.99629929221435798</v>
      </c>
      <c r="J20" s="244">
        <f t="shared" si="1"/>
        <v>58.728109201213343</v>
      </c>
      <c r="K20" s="244">
        <f t="shared" si="1"/>
        <v>1.7441860465116281</v>
      </c>
      <c r="L20" s="244">
        <f t="shared" si="1"/>
        <v>10.502719919110215</v>
      </c>
      <c r="M20" s="244">
        <f t="shared" si="1"/>
        <v>148.57683518705764</v>
      </c>
      <c r="N20" s="244">
        <f t="shared" si="1"/>
        <v>357.54083923154707</v>
      </c>
      <c r="O20" s="244">
        <f t="shared" si="1"/>
        <v>272.33870576339746</v>
      </c>
      <c r="P20" s="244">
        <f t="shared" si="1"/>
        <v>9.3733993933265918</v>
      </c>
    </row>
    <row r="21" spans="1:16" ht="16.149999999999999" customHeight="1">
      <c r="A21" s="40">
        <v>1</v>
      </c>
      <c r="B21" s="255" t="s">
        <v>22</v>
      </c>
      <c r="C21" s="255"/>
      <c r="D21" s="255"/>
      <c r="E21" s="255"/>
      <c r="F21" s="255"/>
      <c r="G21" s="255"/>
      <c r="H21" s="255"/>
      <c r="I21" s="255"/>
      <c r="J21" s="255"/>
      <c r="K21" s="255"/>
      <c r="L21" s="255"/>
      <c r="M21" s="255"/>
      <c r="N21" s="255"/>
      <c r="O21" s="255"/>
      <c r="P21" s="255"/>
    </row>
    <row r="22" spans="1:16" ht="22.9" customHeight="1">
      <c r="A22" s="40">
        <v>1</v>
      </c>
      <c r="B22" s="170" t="s">
        <v>156</v>
      </c>
      <c r="C22" s="55" t="s">
        <v>171</v>
      </c>
      <c r="D22" s="50">
        <v>100</v>
      </c>
      <c r="E22" s="41">
        <v>12.86</v>
      </c>
      <c r="F22" s="41">
        <v>12.88</v>
      </c>
      <c r="G22" s="41">
        <v>16.38</v>
      </c>
      <c r="H22" s="41">
        <v>232.88</v>
      </c>
      <c r="I22" s="41">
        <v>7.0000000000000007E-2</v>
      </c>
      <c r="J22" s="41">
        <v>3</v>
      </c>
      <c r="K22" s="41">
        <v>82.5</v>
      </c>
      <c r="L22" s="41">
        <v>0.81</v>
      </c>
      <c r="M22" s="41">
        <v>236.94</v>
      </c>
      <c r="N22" s="41">
        <v>192.1</v>
      </c>
      <c r="O22" s="41">
        <v>21.05</v>
      </c>
      <c r="P22" s="41">
        <v>1.2</v>
      </c>
    </row>
    <row r="23" spans="1:16" ht="18.600000000000001" customHeight="1">
      <c r="A23" s="40">
        <v>1</v>
      </c>
      <c r="B23" s="170" t="s">
        <v>151</v>
      </c>
      <c r="C23" s="55" t="s">
        <v>49</v>
      </c>
      <c r="D23" s="50">
        <v>200</v>
      </c>
      <c r="E23" s="41">
        <v>0.16</v>
      </c>
      <c r="F23" s="41">
        <v>0.16</v>
      </c>
      <c r="G23" s="41">
        <v>19.88</v>
      </c>
      <c r="H23" s="41">
        <v>81.599999999999994</v>
      </c>
      <c r="I23" s="41">
        <v>0.02</v>
      </c>
      <c r="J23" s="41">
        <v>0.9</v>
      </c>
      <c r="K23" s="41">
        <v>0</v>
      </c>
      <c r="L23" s="41">
        <v>0.08</v>
      </c>
      <c r="M23" s="41">
        <v>13.94</v>
      </c>
      <c r="N23" s="41">
        <v>4.4000000000000004</v>
      </c>
      <c r="O23" s="41">
        <v>5.14</v>
      </c>
      <c r="P23" s="41">
        <v>0.93600000000000005</v>
      </c>
    </row>
    <row r="24" spans="1:16" ht="16.149999999999999" customHeight="1">
      <c r="A24" s="40">
        <v>1</v>
      </c>
      <c r="B24" s="170"/>
      <c r="C24" s="170" t="s">
        <v>18</v>
      </c>
      <c r="D24" s="50"/>
      <c r="E24" s="170">
        <f>SUM(E22:E23)</f>
        <v>13.02</v>
      </c>
      <c r="F24" s="244">
        <f t="shared" ref="F24:P24" si="2">SUM(F22:F23)</f>
        <v>13.040000000000001</v>
      </c>
      <c r="G24" s="244">
        <f t="shared" si="2"/>
        <v>36.26</v>
      </c>
      <c r="H24" s="244">
        <f t="shared" si="2"/>
        <v>314.48</v>
      </c>
      <c r="I24" s="244">
        <f t="shared" si="2"/>
        <v>9.0000000000000011E-2</v>
      </c>
      <c r="J24" s="244">
        <f t="shared" si="2"/>
        <v>3.9</v>
      </c>
      <c r="K24" s="244">
        <f t="shared" si="2"/>
        <v>82.5</v>
      </c>
      <c r="L24" s="244">
        <f t="shared" si="2"/>
        <v>0.89</v>
      </c>
      <c r="M24" s="244">
        <f t="shared" si="2"/>
        <v>250.88</v>
      </c>
      <c r="N24" s="244">
        <f t="shared" si="2"/>
        <v>196.5</v>
      </c>
      <c r="O24" s="244">
        <f t="shared" si="2"/>
        <v>26.19</v>
      </c>
      <c r="P24" s="244">
        <f t="shared" si="2"/>
        <v>2.1360000000000001</v>
      </c>
    </row>
    <row r="25" spans="1:16" ht="15" customHeight="1">
      <c r="A25" s="40">
        <v>1</v>
      </c>
      <c r="B25" s="170"/>
      <c r="C25" s="170" t="s">
        <v>23</v>
      </c>
      <c r="D25" s="50"/>
      <c r="E25" s="170">
        <f>SUM(E12+E20+E24)</f>
        <v>56.055715447154469</v>
      </c>
      <c r="F25" s="244">
        <f t="shared" ref="F25:P25" si="3">SUM(F12+F20+F24)</f>
        <v>65.647666666666666</v>
      </c>
      <c r="G25" s="244">
        <f t="shared" si="3"/>
        <v>247.20223103241347</v>
      </c>
      <c r="H25" s="244">
        <f t="shared" si="3"/>
        <v>1821.7566639670522</v>
      </c>
      <c r="I25" s="244">
        <f t="shared" si="3"/>
        <v>1.2139236824582604</v>
      </c>
      <c r="J25" s="244">
        <f t="shared" si="3"/>
        <v>70.091011640237738</v>
      </c>
      <c r="K25" s="244">
        <f t="shared" si="3"/>
        <v>84.756742144072604</v>
      </c>
      <c r="L25" s="244">
        <f t="shared" si="3"/>
        <v>14.450319919110216</v>
      </c>
      <c r="M25" s="244">
        <f t="shared" si="3"/>
        <v>601.56131323583804</v>
      </c>
      <c r="N25" s="244">
        <f t="shared" si="3"/>
        <v>795.78873191447394</v>
      </c>
      <c r="O25" s="244">
        <f t="shared" si="3"/>
        <v>349.76839356827548</v>
      </c>
      <c r="P25" s="244">
        <f t="shared" si="3"/>
        <v>13.314121344546106</v>
      </c>
    </row>
    <row r="26" spans="1:16" s="36" customFormat="1" ht="15" customHeight="1">
      <c r="B26" s="244"/>
      <c r="C26" s="55"/>
      <c r="D26" s="245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</row>
    <row r="27" spans="1:16" s="36" customFormat="1" ht="20.100000000000001" customHeight="1">
      <c r="B27" s="206" t="s">
        <v>137</v>
      </c>
      <c r="C27" s="38"/>
      <c r="D27" s="236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</row>
    <row r="28" spans="1:16" s="36" customFormat="1" ht="20.100000000000001" customHeight="1">
      <c r="B28" s="206" t="s">
        <v>135</v>
      </c>
      <c r="C28" s="38"/>
      <c r="D28" s="236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</row>
    <row r="29" spans="1:16" s="36" customFormat="1" ht="20.100000000000001" customHeight="1">
      <c r="B29" s="206" t="s">
        <v>196</v>
      </c>
      <c r="C29" s="38"/>
      <c r="D29" s="236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</row>
    <row r="30" spans="1:16" s="36" customFormat="1" ht="41.25" customHeight="1">
      <c r="B30" s="256" t="s">
        <v>0</v>
      </c>
      <c r="C30" s="256" t="s">
        <v>1</v>
      </c>
      <c r="D30" s="257" t="s">
        <v>2</v>
      </c>
      <c r="E30" s="255" t="s">
        <v>3</v>
      </c>
      <c r="F30" s="255"/>
      <c r="G30" s="255"/>
      <c r="H30" s="255" t="s">
        <v>4</v>
      </c>
      <c r="I30" s="255" t="s">
        <v>5</v>
      </c>
      <c r="J30" s="255"/>
      <c r="K30" s="255"/>
      <c r="L30" s="255"/>
      <c r="M30" s="255" t="s">
        <v>6</v>
      </c>
      <c r="N30" s="255"/>
      <c r="O30" s="255"/>
      <c r="P30" s="255"/>
    </row>
    <row r="31" spans="1:16" s="36" customFormat="1" ht="16.149999999999999" customHeight="1">
      <c r="B31" s="256"/>
      <c r="C31" s="256"/>
      <c r="D31" s="257"/>
      <c r="E31" s="170" t="s">
        <v>7</v>
      </c>
      <c r="F31" s="170" t="s">
        <v>8</v>
      </c>
      <c r="G31" s="170" t="s">
        <v>9</v>
      </c>
      <c r="H31" s="255"/>
      <c r="I31" s="170" t="s">
        <v>136</v>
      </c>
      <c r="J31" s="170" t="s">
        <v>10</v>
      </c>
      <c r="K31" s="170" t="s">
        <v>11</v>
      </c>
      <c r="L31" s="170" t="s">
        <v>12</v>
      </c>
      <c r="M31" s="170" t="s">
        <v>13</v>
      </c>
      <c r="N31" s="170" t="s">
        <v>14</v>
      </c>
      <c r="O31" s="170" t="s">
        <v>15</v>
      </c>
      <c r="P31" s="170" t="s">
        <v>16</v>
      </c>
    </row>
    <row r="32" spans="1:16" ht="15.6" customHeight="1">
      <c r="A32" s="40">
        <v>2</v>
      </c>
      <c r="B32" s="255" t="s">
        <v>17</v>
      </c>
      <c r="C32" s="255"/>
      <c r="D32" s="255"/>
      <c r="E32" s="255"/>
      <c r="F32" s="255"/>
      <c r="G32" s="255"/>
      <c r="H32" s="255"/>
      <c r="I32" s="255"/>
      <c r="J32" s="255"/>
      <c r="K32" s="255"/>
      <c r="L32" s="255"/>
      <c r="M32" s="255"/>
      <c r="N32" s="255"/>
      <c r="O32" s="255"/>
      <c r="P32" s="255"/>
    </row>
    <row r="33" spans="1:16" ht="18.600000000000001" customHeight="1">
      <c r="B33" s="170" t="s">
        <v>167</v>
      </c>
      <c r="C33" s="55" t="s">
        <v>209</v>
      </c>
      <c r="D33" s="50" t="s">
        <v>289</v>
      </c>
      <c r="E33" s="41">
        <v>14.184000000000001</v>
      </c>
      <c r="F33" s="41">
        <v>16.290000000000003</v>
      </c>
      <c r="G33" s="41">
        <v>2.6460000000000004</v>
      </c>
      <c r="H33" s="41">
        <v>213.93</v>
      </c>
      <c r="I33" s="41">
        <v>1.08</v>
      </c>
      <c r="J33" s="41">
        <v>5.8140000000000001</v>
      </c>
      <c r="K33" s="41">
        <v>4.41</v>
      </c>
      <c r="L33" s="41">
        <v>8.19</v>
      </c>
      <c r="M33" s="41">
        <v>89.477999999999994</v>
      </c>
      <c r="N33" s="41">
        <v>152.49600000000001</v>
      </c>
      <c r="O33" s="41">
        <v>17.64</v>
      </c>
      <c r="P33" s="41">
        <v>3.6</v>
      </c>
    </row>
    <row r="34" spans="1:16" ht="18" customHeight="1">
      <c r="A34" s="40">
        <v>2</v>
      </c>
      <c r="B34" s="170" t="s">
        <v>148</v>
      </c>
      <c r="C34" s="55" t="s">
        <v>210</v>
      </c>
      <c r="D34" s="50">
        <v>100</v>
      </c>
      <c r="E34" s="41">
        <v>0.8</v>
      </c>
      <c r="F34" s="41">
        <v>0.1</v>
      </c>
      <c r="G34" s="41">
        <v>2.5</v>
      </c>
      <c r="H34" s="41">
        <v>14.100000000000001</v>
      </c>
      <c r="I34" s="41">
        <v>0</v>
      </c>
      <c r="J34" s="41">
        <v>10</v>
      </c>
      <c r="K34" s="41">
        <v>0</v>
      </c>
      <c r="L34" s="41">
        <v>0</v>
      </c>
      <c r="M34" s="41">
        <v>23.3</v>
      </c>
      <c r="N34" s="41">
        <v>41.6</v>
      </c>
      <c r="O34" s="41">
        <v>14</v>
      </c>
      <c r="P34" s="41">
        <v>0.6</v>
      </c>
    </row>
    <row r="35" spans="1:16" ht="18" customHeight="1">
      <c r="B35" s="170" t="s">
        <v>244</v>
      </c>
      <c r="C35" s="55" t="s">
        <v>211</v>
      </c>
      <c r="D35" s="50">
        <v>10</v>
      </c>
      <c r="E35" s="41">
        <v>0.25</v>
      </c>
      <c r="F35" s="41">
        <v>5.3</v>
      </c>
      <c r="G35" s="41">
        <v>1.89</v>
      </c>
      <c r="H35" s="41">
        <v>56.26</v>
      </c>
      <c r="I35" s="41">
        <v>1E-3</v>
      </c>
      <c r="J35" s="41">
        <v>0</v>
      </c>
      <c r="K35" s="41">
        <v>0.04</v>
      </c>
      <c r="L35" s="41">
        <v>0.1</v>
      </c>
      <c r="M35" s="41">
        <v>2.4</v>
      </c>
      <c r="N35" s="41">
        <v>3</v>
      </c>
      <c r="O35" s="41">
        <v>0</v>
      </c>
      <c r="P35" s="41">
        <v>0.02</v>
      </c>
    </row>
    <row r="36" spans="1:16" ht="13.9" customHeight="1">
      <c r="B36" s="170" t="s">
        <v>98</v>
      </c>
      <c r="C36" s="55" t="s">
        <v>24</v>
      </c>
      <c r="D36" s="50">
        <v>40</v>
      </c>
      <c r="E36" s="41">
        <v>3.2</v>
      </c>
      <c r="F36" s="41">
        <v>0.1</v>
      </c>
      <c r="G36" s="41">
        <v>21.2</v>
      </c>
      <c r="H36" s="41">
        <v>98.5</v>
      </c>
      <c r="I36" s="41">
        <v>0.08</v>
      </c>
      <c r="J36" s="41">
        <v>1.6</v>
      </c>
      <c r="K36" s="41">
        <v>0</v>
      </c>
      <c r="L36" s="41">
        <v>0</v>
      </c>
      <c r="M36" s="41">
        <v>15.2</v>
      </c>
      <c r="N36" s="41">
        <v>52</v>
      </c>
      <c r="O36" s="41">
        <v>10.4</v>
      </c>
      <c r="P36" s="41">
        <v>1</v>
      </c>
    </row>
    <row r="37" spans="1:16" ht="18" customHeight="1">
      <c r="B37" s="170" t="s">
        <v>57</v>
      </c>
      <c r="C37" s="55" t="s">
        <v>20</v>
      </c>
      <c r="D37" s="50">
        <v>40</v>
      </c>
      <c r="E37" s="41">
        <v>3.0666666666666664</v>
      </c>
      <c r="F37" s="41">
        <v>0.26666666666666672</v>
      </c>
      <c r="G37" s="41">
        <v>19.733333333333334</v>
      </c>
      <c r="H37" s="41">
        <v>93.6</v>
      </c>
      <c r="I37" s="41">
        <v>0</v>
      </c>
      <c r="J37" s="41">
        <v>0</v>
      </c>
      <c r="K37" s="41">
        <v>0</v>
      </c>
      <c r="L37" s="41">
        <v>0.4</v>
      </c>
      <c r="M37" s="41">
        <v>8</v>
      </c>
      <c r="N37" s="41">
        <v>26</v>
      </c>
      <c r="O37" s="41">
        <v>5.6000000000000014</v>
      </c>
      <c r="P37" s="41">
        <v>0.4</v>
      </c>
    </row>
    <row r="38" spans="1:16" ht="14.45" customHeight="1">
      <c r="A38" s="40">
        <v>2</v>
      </c>
      <c r="B38" s="170" t="s">
        <v>163</v>
      </c>
      <c r="C38" s="55" t="s">
        <v>53</v>
      </c>
      <c r="D38" s="50">
        <v>200</v>
      </c>
      <c r="E38" s="41">
        <v>4.08</v>
      </c>
      <c r="F38" s="41">
        <v>3.54</v>
      </c>
      <c r="G38" s="41">
        <v>17.579999999999998</v>
      </c>
      <c r="H38" s="41">
        <v>118.5</v>
      </c>
      <c r="I38" s="41">
        <v>0.06</v>
      </c>
      <c r="J38" s="41">
        <v>1.58</v>
      </c>
      <c r="K38" s="41">
        <v>0.02</v>
      </c>
      <c r="L38" s="41">
        <v>0</v>
      </c>
      <c r="M38" s="41">
        <v>152.22</v>
      </c>
      <c r="N38" s="41">
        <v>124.56</v>
      </c>
      <c r="O38" s="41">
        <v>21.34</v>
      </c>
      <c r="P38" s="41">
        <v>0.48</v>
      </c>
    </row>
    <row r="39" spans="1:16" ht="19.899999999999999" customHeight="1">
      <c r="A39" s="40">
        <v>2</v>
      </c>
      <c r="B39" s="170"/>
      <c r="C39" s="170" t="s">
        <v>18</v>
      </c>
      <c r="D39" s="50"/>
      <c r="E39" s="170">
        <f>SUM(E33:E38)</f>
        <v>25.580666666666666</v>
      </c>
      <c r="F39" s="244">
        <f t="shared" ref="F39:P39" si="4">SUM(F33:F38)</f>
        <v>25.596666666666671</v>
      </c>
      <c r="G39" s="244">
        <f t="shared" si="4"/>
        <v>65.549333333333337</v>
      </c>
      <c r="H39" s="244">
        <f t="shared" si="4"/>
        <v>594.89</v>
      </c>
      <c r="I39" s="244">
        <f t="shared" si="4"/>
        <v>1.2210000000000001</v>
      </c>
      <c r="J39" s="244">
        <f t="shared" si="4"/>
        <v>18.994</v>
      </c>
      <c r="K39" s="244">
        <f t="shared" si="4"/>
        <v>4.47</v>
      </c>
      <c r="L39" s="244">
        <f t="shared" si="4"/>
        <v>8.69</v>
      </c>
      <c r="M39" s="244">
        <f t="shared" si="4"/>
        <v>290.59799999999996</v>
      </c>
      <c r="N39" s="244">
        <f t="shared" si="4"/>
        <v>399.65600000000001</v>
      </c>
      <c r="O39" s="244">
        <f t="shared" si="4"/>
        <v>68.98</v>
      </c>
      <c r="P39" s="244">
        <f t="shared" si="4"/>
        <v>6.1</v>
      </c>
    </row>
    <row r="40" spans="1:16" ht="15.6" customHeight="1">
      <c r="A40" s="40">
        <v>2</v>
      </c>
      <c r="B40" s="255" t="s">
        <v>19</v>
      </c>
      <c r="C40" s="255"/>
      <c r="D40" s="255"/>
      <c r="E40" s="255"/>
      <c r="F40" s="255"/>
      <c r="G40" s="255"/>
      <c r="H40" s="255"/>
      <c r="I40" s="255"/>
      <c r="J40" s="255"/>
      <c r="K40" s="255"/>
      <c r="L40" s="255"/>
      <c r="M40" s="255"/>
      <c r="N40" s="255"/>
      <c r="O40" s="255"/>
      <c r="P40" s="255"/>
    </row>
    <row r="41" spans="1:16" ht="18" customHeight="1">
      <c r="A41" s="40">
        <v>2</v>
      </c>
      <c r="B41" s="244" t="s">
        <v>203</v>
      </c>
      <c r="C41" s="55" t="s">
        <v>172</v>
      </c>
      <c r="D41" s="245">
        <v>100</v>
      </c>
      <c r="E41" s="41">
        <v>4.7</v>
      </c>
      <c r="F41" s="41">
        <v>9.5</v>
      </c>
      <c r="G41" s="41">
        <v>7.13</v>
      </c>
      <c r="H41" s="41">
        <v>132.80000000000001</v>
      </c>
      <c r="I41" s="41">
        <v>0.02</v>
      </c>
      <c r="J41" s="41">
        <v>8.2100000000000009</v>
      </c>
      <c r="K41" s="41">
        <v>0.04</v>
      </c>
      <c r="L41" s="41">
        <v>2.36</v>
      </c>
      <c r="M41" s="41">
        <v>161.97</v>
      </c>
      <c r="N41" s="41">
        <v>109.93</v>
      </c>
      <c r="O41" s="41">
        <v>23.07</v>
      </c>
      <c r="P41" s="41">
        <v>1.28</v>
      </c>
    </row>
    <row r="42" spans="1:16" ht="17.45" customHeight="1">
      <c r="B42" s="170" t="s">
        <v>160</v>
      </c>
      <c r="C42" s="55" t="s">
        <v>213</v>
      </c>
      <c r="D42" s="50" t="s">
        <v>283</v>
      </c>
      <c r="E42" s="44">
        <v>5.564814814814814</v>
      </c>
      <c r="F42" s="44">
        <v>6.6203703703703694</v>
      </c>
      <c r="G42" s="44">
        <v>14.5</v>
      </c>
      <c r="H42" s="44">
        <v>139.84259259259258</v>
      </c>
      <c r="I42" s="44">
        <v>1.8518518518518521E-2</v>
      </c>
      <c r="J42" s="44">
        <v>5.5555555555555546E-2</v>
      </c>
      <c r="K42" s="44">
        <v>10.333333333333332</v>
      </c>
      <c r="L42" s="44">
        <v>1.2129629629629628</v>
      </c>
      <c r="M42" s="44">
        <v>31.175925925925927</v>
      </c>
      <c r="N42" s="44">
        <v>31.953703703703699</v>
      </c>
      <c r="O42" s="44">
        <v>101.47222222222223</v>
      </c>
      <c r="P42" s="44">
        <v>1.5462962962962963</v>
      </c>
    </row>
    <row r="43" spans="1:16" ht="16.899999999999999" customHeight="1">
      <c r="A43" s="40">
        <v>2</v>
      </c>
      <c r="B43" s="244" t="s">
        <v>200</v>
      </c>
      <c r="C43" s="55" t="s">
        <v>199</v>
      </c>
      <c r="D43" s="245" t="s">
        <v>286</v>
      </c>
      <c r="E43" s="41">
        <v>9.1</v>
      </c>
      <c r="F43" s="41">
        <v>17</v>
      </c>
      <c r="G43" s="41">
        <v>5.65</v>
      </c>
      <c r="H43" s="41">
        <v>212</v>
      </c>
      <c r="I43" s="41">
        <v>0</v>
      </c>
      <c r="J43" s="41">
        <v>0.1</v>
      </c>
      <c r="K43" s="41">
        <v>1.1000000000000001</v>
      </c>
      <c r="L43" s="41">
        <v>1.5</v>
      </c>
      <c r="M43" s="41">
        <v>24</v>
      </c>
      <c r="N43" s="41">
        <v>136.25</v>
      </c>
      <c r="O43" s="41">
        <v>17.75</v>
      </c>
      <c r="P43" s="41">
        <v>1.6</v>
      </c>
    </row>
    <row r="44" spans="1:16" ht="16.899999999999999" customHeight="1">
      <c r="B44" s="170" t="s">
        <v>96</v>
      </c>
      <c r="C44" s="55" t="s">
        <v>194</v>
      </c>
      <c r="D44" s="50">
        <v>180</v>
      </c>
      <c r="E44" s="44">
        <v>10.295999999999999</v>
      </c>
      <c r="F44" s="44">
        <v>8.7480000000000011</v>
      </c>
      <c r="G44" s="44">
        <v>37.224000000000004</v>
      </c>
      <c r="H44" s="44">
        <v>268.81200000000001</v>
      </c>
      <c r="I44" s="44">
        <v>0.28800000000000003</v>
      </c>
      <c r="J44" s="44">
        <v>0</v>
      </c>
      <c r="K44" s="44">
        <v>1.8000000000000002E-2</v>
      </c>
      <c r="L44" s="44">
        <v>0.72</v>
      </c>
      <c r="M44" s="44">
        <v>18.468</v>
      </c>
      <c r="N44" s="44">
        <v>243.99000000000004</v>
      </c>
      <c r="O44" s="44">
        <v>162.57599999999999</v>
      </c>
      <c r="P44" s="44">
        <v>5.58</v>
      </c>
    </row>
    <row r="45" spans="1:16" ht="14.45" customHeight="1">
      <c r="A45" s="40">
        <v>2</v>
      </c>
      <c r="B45" s="170" t="s">
        <v>154</v>
      </c>
      <c r="C45" s="55" t="s">
        <v>56</v>
      </c>
      <c r="D45" s="50">
        <v>200</v>
      </c>
      <c r="E45" s="44">
        <v>0.495</v>
      </c>
      <c r="F45" s="44">
        <v>7.4999999999999997E-2</v>
      </c>
      <c r="G45" s="44">
        <v>21.015000000000001</v>
      </c>
      <c r="H45" s="44">
        <v>86.715000000000003</v>
      </c>
      <c r="I45" s="44">
        <v>1.4999999999999999E-2</v>
      </c>
      <c r="J45" s="44">
        <v>0.51000000000000012</v>
      </c>
      <c r="K45" s="44">
        <v>0</v>
      </c>
      <c r="L45" s="44">
        <v>0.375</v>
      </c>
      <c r="M45" s="44">
        <v>24.27</v>
      </c>
      <c r="N45" s="44">
        <v>17.579999999999998</v>
      </c>
      <c r="O45" s="44">
        <v>13.095000000000001</v>
      </c>
      <c r="P45" s="44">
        <v>0.5159999999999999</v>
      </c>
    </row>
    <row r="46" spans="1:16" ht="16.899999999999999" customHeight="1">
      <c r="A46" s="40">
        <v>2</v>
      </c>
      <c r="B46" s="170" t="s">
        <v>57</v>
      </c>
      <c r="C46" s="55" t="s">
        <v>20</v>
      </c>
      <c r="D46" s="50">
        <v>40</v>
      </c>
      <c r="E46" s="44">
        <v>3.0666666666666664</v>
      </c>
      <c r="F46" s="44">
        <v>0.26666666666666672</v>
      </c>
      <c r="G46" s="44">
        <v>19.733333333333334</v>
      </c>
      <c r="H46" s="44">
        <v>93.6</v>
      </c>
      <c r="I46" s="44">
        <v>0</v>
      </c>
      <c r="J46" s="44">
        <v>0</v>
      </c>
      <c r="K46" s="44">
        <v>0</v>
      </c>
      <c r="L46" s="44">
        <v>0.4</v>
      </c>
      <c r="M46" s="44">
        <v>8</v>
      </c>
      <c r="N46" s="44">
        <v>26</v>
      </c>
      <c r="O46" s="44">
        <v>5.6000000000000014</v>
      </c>
      <c r="P46" s="44">
        <v>0.4</v>
      </c>
    </row>
    <row r="47" spans="1:16" ht="16.899999999999999" customHeight="1">
      <c r="B47" s="170" t="s">
        <v>150</v>
      </c>
      <c r="C47" s="55" t="s">
        <v>21</v>
      </c>
      <c r="D47" s="50">
        <v>50</v>
      </c>
      <c r="E47" s="44">
        <v>3.25</v>
      </c>
      <c r="F47" s="44">
        <v>0.625</v>
      </c>
      <c r="G47" s="44">
        <v>19.75</v>
      </c>
      <c r="H47" s="44">
        <v>97.625</v>
      </c>
      <c r="I47" s="44">
        <v>0.125</v>
      </c>
      <c r="J47" s="44">
        <v>0</v>
      </c>
      <c r="K47" s="44">
        <v>0</v>
      </c>
      <c r="L47" s="44">
        <v>0.75</v>
      </c>
      <c r="M47" s="44">
        <v>14.499999999999998</v>
      </c>
      <c r="N47" s="44">
        <v>75</v>
      </c>
      <c r="O47" s="44">
        <v>23.5</v>
      </c>
      <c r="P47" s="44">
        <v>2</v>
      </c>
    </row>
    <row r="48" spans="1:16" ht="16.899999999999999" customHeight="1">
      <c r="B48" s="230"/>
      <c r="C48" s="55" t="s">
        <v>216</v>
      </c>
      <c r="D48" s="50">
        <v>150</v>
      </c>
      <c r="E48" s="44">
        <v>0.6</v>
      </c>
      <c r="F48" s="44">
        <v>0.6</v>
      </c>
      <c r="G48" s="44">
        <v>14.7</v>
      </c>
      <c r="H48" s="44">
        <v>66.600000000000009</v>
      </c>
      <c r="I48" s="44">
        <v>4.4999999999999998E-2</v>
      </c>
      <c r="J48" s="44">
        <v>15</v>
      </c>
      <c r="K48" s="44">
        <v>0</v>
      </c>
      <c r="L48" s="44">
        <v>0.3</v>
      </c>
      <c r="M48" s="44">
        <v>24</v>
      </c>
      <c r="N48" s="44">
        <v>16.5</v>
      </c>
      <c r="O48" s="44">
        <v>13.5</v>
      </c>
      <c r="P48" s="44">
        <v>3.3</v>
      </c>
    </row>
    <row r="49" spans="1:16" ht="13.9" customHeight="1">
      <c r="A49" s="40">
        <v>2</v>
      </c>
      <c r="B49" s="170"/>
      <c r="C49" s="170" t="s">
        <v>18</v>
      </c>
      <c r="D49" s="50"/>
      <c r="E49" s="170">
        <f>SUM(E41:E48)</f>
        <v>37.072481481481482</v>
      </c>
      <c r="F49" s="244">
        <f t="shared" ref="F49:P49" si="5">SUM(F41:F48)</f>
        <v>43.435037037037041</v>
      </c>
      <c r="G49" s="244">
        <f t="shared" si="5"/>
        <v>139.70233333333334</v>
      </c>
      <c r="H49" s="244">
        <f t="shared" si="5"/>
        <v>1097.9945925925927</v>
      </c>
      <c r="I49" s="244">
        <f t="shared" si="5"/>
        <v>0.51151851851851859</v>
      </c>
      <c r="J49" s="244">
        <f t="shared" si="5"/>
        <v>23.875555555555557</v>
      </c>
      <c r="K49" s="244">
        <f t="shared" si="5"/>
        <v>11.491333333333332</v>
      </c>
      <c r="L49" s="244">
        <f t="shared" si="5"/>
        <v>7.617962962962963</v>
      </c>
      <c r="M49" s="244">
        <f t="shared" si="5"/>
        <v>306.38392592592589</v>
      </c>
      <c r="N49" s="244">
        <f t="shared" si="5"/>
        <v>657.20370370370381</v>
      </c>
      <c r="O49" s="244">
        <f t="shared" si="5"/>
        <v>360.56322222222229</v>
      </c>
      <c r="P49" s="244">
        <f t="shared" si="5"/>
        <v>16.222296296296296</v>
      </c>
    </row>
    <row r="50" spans="1:16" ht="18" customHeight="1">
      <c r="A50" s="40">
        <v>2</v>
      </c>
      <c r="B50" s="255" t="s">
        <v>22</v>
      </c>
      <c r="C50" s="255"/>
      <c r="D50" s="255"/>
      <c r="E50" s="255"/>
      <c r="F50" s="255"/>
      <c r="G50" s="255"/>
      <c r="H50" s="255"/>
      <c r="I50" s="255"/>
      <c r="J50" s="255"/>
      <c r="K50" s="255"/>
      <c r="L50" s="255"/>
      <c r="M50" s="255"/>
      <c r="N50" s="255"/>
      <c r="O50" s="255"/>
      <c r="P50" s="255"/>
    </row>
    <row r="51" spans="1:16" ht="19.899999999999999" customHeight="1">
      <c r="A51" s="40">
        <v>2</v>
      </c>
      <c r="B51" s="170" t="s">
        <v>97</v>
      </c>
      <c r="C51" s="207" t="s">
        <v>168</v>
      </c>
      <c r="D51" s="208">
        <v>120</v>
      </c>
      <c r="E51" s="45">
        <v>12</v>
      </c>
      <c r="F51" s="45">
        <v>14.399999999999999</v>
      </c>
      <c r="G51" s="45">
        <v>39.6</v>
      </c>
      <c r="H51" s="45">
        <v>336</v>
      </c>
      <c r="I51" s="45">
        <v>0.156</v>
      </c>
      <c r="J51" s="45">
        <v>0</v>
      </c>
      <c r="K51" s="45">
        <v>0</v>
      </c>
      <c r="L51" s="45">
        <v>2.04</v>
      </c>
      <c r="M51" s="45">
        <v>8.4</v>
      </c>
      <c r="N51" s="45">
        <v>75.599999999999994</v>
      </c>
      <c r="O51" s="45">
        <v>30</v>
      </c>
      <c r="P51" s="45">
        <v>1.6799999999999997</v>
      </c>
    </row>
    <row r="52" spans="1:16" ht="14.45" customHeight="1">
      <c r="A52" s="40">
        <v>2</v>
      </c>
      <c r="B52" s="209" t="s">
        <v>192</v>
      </c>
      <c r="C52" s="207" t="s">
        <v>26</v>
      </c>
      <c r="D52" s="208" t="s">
        <v>178</v>
      </c>
      <c r="E52" s="45">
        <v>0.08</v>
      </c>
      <c r="F52" s="45">
        <v>0.02</v>
      </c>
      <c r="G52" s="45">
        <v>15</v>
      </c>
      <c r="H52" s="45">
        <v>60.5</v>
      </c>
      <c r="I52" s="45">
        <v>0</v>
      </c>
      <c r="J52" s="45">
        <v>0.04</v>
      </c>
      <c r="K52" s="45">
        <v>0</v>
      </c>
      <c r="L52" s="45">
        <v>0</v>
      </c>
      <c r="M52" s="45">
        <v>11.1</v>
      </c>
      <c r="N52" s="45">
        <v>2.8</v>
      </c>
      <c r="O52" s="45">
        <v>1.4</v>
      </c>
      <c r="P52" s="45">
        <v>0.28000000000000003</v>
      </c>
    </row>
    <row r="53" spans="1:16" ht="14.45" customHeight="1">
      <c r="A53" s="40">
        <v>2</v>
      </c>
      <c r="B53" s="41"/>
      <c r="C53" s="170" t="s">
        <v>18</v>
      </c>
      <c r="D53" s="208"/>
      <c r="E53" s="170">
        <f>SUM(E51:E52)</f>
        <v>12.08</v>
      </c>
      <c r="F53" s="244">
        <f t="shared" ref="F53:P53" si="6">SUM(F51:F52)</f>
        <v>14.419999999999998</v>
      </c>
      <c r="G53" s="244">
        <f t="shared" si="6"/>
        <v>54.6</v>
      </c>
      <c r="H53" s="244">
        <f t="shared" si="6"/>
        <v>396.5</v>
      </c>
      <c r="I53" s="244">
        <f t="shared" si="6"/>
        <v>0.156</v>
      </c>
      <c r="J53" s="244">
        <f t="shared" si="6"/>
        <v>0.04</v>
      </c>
      <c r="K53" s="244">
        <f t="shared" si="6"/>
        <v>0</v>
      </c>
      <c r="L53" s="244">
        <f t="shared" si="6"/>
        <v>2.04</v>
      </c>
      <c r="M53" s="244">
        <f t="shared" si="6"/>
        <v>19.5</v>
      </c>
      <c r="N53" s="244">
        <f t="shared" si="6"/>
        <v>78.399999999999991</v>
      </c>
      <c r="O53" s="244">
        <f t="shared" si="6"/>
        <v>31.4</v>
      </c>
      <c r="P53" s="244">
        <f t="shared" si="6"/>
        <v>1.9599999999999997</v>
      </c>
    </row>
    <row r="54" spans="1:16" ht="15.6" customHeight="1">
      <c r="A54" s="40">
        <v>2</v>
      </c>
      <c r="B54" s="41"/>
      <c r="C54" s="170" t="s">
        <v>25</v>
      </c>
      <c r="D54" s="208"/>
      <c r="E54" s="170">
        <f>SUM(E39+E49+E53)</f>
        <v>74.733148148148146</v>
      </c>
      <c r="F54" s="244">
        <f t="shared" ref="F54:P54" si="7">SUM(F39+F49+F53)</f>
        <v>83.451703703703714</v>
      </c>
      <c r="G54" s="244">
        <f t="shared" si="7"/>
        <v>259.85166666666669</v>
      </c>
      <c r="H54" s="244">
        <f t="shared" si="7"/>
        <v>2089.3845925925925</v>
      </c>
      <c r="I54" s="244">
        <f t="shared" si="7"/>
        <v>1.8885185185185185</v>
      </c>
      <c r="J54" s="244">
        <f t="shared" si="7"/>
        <v>42.909555555555556</v>
      </c>
      <c r="K54" s="244">
        <f t="shared" si="7"/>
        <v>15.961333333333332</v>
      </c>
      <c r="L54" s="244">
        <f t="shared" si="7"/>
        <v>18.34796296296296</v>
      </c>
      <c r="M54" s="244">
        <f t="shared" si="7"/>
        <v>616.48192592592591</v>
      </c>
      <c r="N54" s="244">
        <f t="shared" si="7"/>
        <v>1135.259703703704</v>
      </c>
      <c r="O54" s="244">
        <f t="shared" si="7"/>
        <v>460.94322222222229</v>
      </c>
      <c r="P54" s="244">
        <f t="shared" si="7"/>
        <v>24.282296296296295</v>
      </c>
    </row>
    <row r="55" spans="1:16" s="36" customFormat="1" ht="20.100000000000001" customHeight="1">
      <c r="B55" s="42"/>
      <c r="C55" s="42"/>
      <c r="D55" s="236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</row>
    <row r="56" spans="1:16" s="36" customFormat="1" ht="20.100000000000001" customHeight="1">
      <c r="B56" s="206" t="s">
        <v>138</v>
      </c>
      <c r="C56" s="38"/>
      <c r="D56" s="236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</row>
    <row r="57" spans="1:16" s="36" customFormat="1" ht="20.100000000000001" customHeight="1">
      <c r="B57" s="206" t="s">
        <v>135</v>
      </c>
      <c r="C57" s="38"/>
      <c r="D57" s="236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</row>
    <row r="58" spans="1:16" s="36" customFormat="1" ht="20.100000000000001" customHeight="1">
      <c r="B58" s="206" t="s">
        <v>196</v>
      </c>
      <c r="C58" s="38"/>
      <c r="D58" s="236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</row>
    <row r="59" spans="1:16" s="36" customFormat="1" ht="27" customHeight="1">
      <c r="B59" s="256" t="s">
        <v>0</v>
      </c>
      <c r="C59" s="256" t="s">
        <v>1</v>
      </c>
      <c r="D59" s="257" t="s">
        <v>2</v>
      </c>
      <c r="E59" s="255" t="s">
        <v>3</v>
      </c>
      <c r="F59" s="255"/>
      <c r="G59" s="255"/>
      <c r="H59" s="255" t="s">
        <v>4</v>
      </c>
      <c r="I59" s="255" t="s">
        <v>5</v>
      </c>
      <c r="J59" s="255"/>
      <c r="K59" s="255"/>
      <c r="L59" s="255"/>
      <c r="M59" s="255" t="s">
        <v>6</v>
      </c>
      <c r="N59" s="255"/>
      <c r="O59" s="255"/>
      <c r="P59" s="255"/>
    </row>
    <row r="60" spans="1:16" s="36" customFormat="1" ht="32.450000000000003" customHeight="1">
      <c r="B60" s="256"/>
      <c r="C60" s="256"/>
      <c r="D60" s="257"/>
      <c r="E60" s="170" t="s">
        <v>7</v>
      </c>
      <c r="F60" s="170" t="s">
        <v>8</v>
      </c>
      <c r="G60" s="170" t="s">
        <v>9</v>
      </c>
      <c r="H60" s="255"/>
      <c r="I60" s="170" t="s">
        <v>136</v>
      </c>
      <c r="J60" s="170" t="s">
        <v>10</v>
      </c>
      <c r="K60" s="170" t="s">
        <v>11</v>
      </c>
      <c r="L60" s="170" t="s">
        <v>12</v>
      </c>
      <c r="M60" s="170" t="s">
        <v>13</v>
      </c>
      <c r="N60" s="170" t="s">
        <v>14</v>
      </c>
      <c r="O60" s="170" t="s">
        <v>15</v>
      </c>
      <c r="P60" s="170" t="s">
        <v>16</v>
      </c>
    </row>
    <row r="61" spans="1:16" ht="18" customHeight="1">
      <c r="A61" s="40">
        <v>3</v>
      </c>
      <c r="B61" s="255" t="s">
        <v>17</v>
      </c>
      <c r="C61" s="255"/>
      <c r="D61" s="255"/>
      <c r="E61" s="255"/>
      <c r="F61" s="255"/>
      <c r="G61" s="255"/>
      <c r="H61" s="255"/>
      <c r="I61" s="255"/>
      <c r="J61" s="255"/>
      <c r="K61" s="255"/>
      <c r="L61" s="255"/>
      <c r="M61" s="255"/>
      <c r="N61" s="255"/>
      <c r="O61" s="255"/>
      <c r="P61" s="255"/>
    </row>
    <row r="62" spans="1:16" ht="29.45" customHeight="1">
      <c r="A62" s="40">
        <v>3</v>
      </c>
      <c r="B62" s="170" t="s">
        <v>217</v>
      </c>
      <c r="C62" s="55" t="s">
        <v>173</v>
      </c>
      <c r="D62" s="50" t="s">
        <v>182</v>
      </c>
      <c r="E62" s="56">
        <v>7.6</v>
      </c>
      <c r="F62" s="56">
        <v>12.4</v>
      </c>
      <c r="G62" s="56">
        <v>33</v>
      </c>
      <c r="H62" s="56">
        <v>274</v>
      </c>
      <c r="I62" s="56">
        <v>0.1760975609756098</v>
      </c>
      <c r="J62" s="56">
        <v>0.89756097560975623</v>
      </c>
      <c r="K62" s="56">
        <v>5.8536585365853669E-2</v>
      </c>
      <c r="L62" s="56">
        <v>0.63414634146341475</v>
      </c>
      <c r="M62" s="56">
        <v>140.09756097560975</v>
      </c>
      <c r="N62" s="56">
        <v>219.80487804878052</v>
      </c>
      <c r="O62" s="56">
        <v>65.756097560975618</v>
      </c>
      <c r="P62" s="56">
        <v>1.5707317073170735</v>
      </c>
    </row>
    <row r="63" spans="1:16" ht="16.149999999999999" customHeight="1">
      <c r="A63" s="40">
        <v>3</v>
      </c>
      <c r="B63" s="170" t="s">
        <v>98</v>
      </c>
      <c r="C63" s="55" t="s">
        <v>24</v>
      </c>
      <c r="D63" s="50">
        <v>40</v>
      </c>
      <c r="E63" s="56">
        <v>3.2</v>
      </c>
      <c r="F63" s="56">
        <v>0.1</v>
      </c>
      <c r="G63" s="56">
        <v>21.2</v>
      </c>
      <c r="H63" s="56">
        <v>98.5</v>
      </c>
      <c r="I63" s="56">
        <v>0.08</v>
      </c>
      <c r="J63" s="56">
        <v>1.6</v>
      </c>
      <c r="K63" s="56">
        <v>0</v>
      </c>
      <c r="L63" s="56">
        <v>0</v>
      </c>
      <c r="M63" s="56">
        <v>15.2</v>
      </c>
      <c r="N63" s="56">
        <v>52</v>
      </c>
      <c r="O63" s="56">
        <v>10.4</v>
      </c>
      <c r="P63" s="56">
        <v>1</v>
      </c>
    </row>
    <row r="64" spans="1:16" ht="16.149999999999999" customHeight="1">
      <c r="B64" s="170" t="s">
        <v>218</v>
      </c>
      <c r="C64" s="55" t="s">
        <v>169</v>
      </c>
      <c r="D64" s="50">
        <v>20</v>
      </c>
      <c r="E64" s="56">
        <v>4.6399999999999997</v>
      </c>
      <c r="F64" s="56">
        <v>5.9</v>
      </c>
      <c r="G64" s="56">
        <v>0</v>
      </c>
      <c r="H64" s="56">
        <v>71.66</v>
      </c>
      <c r="I64" s="56">
        <v>0</v>
      </c>
      <c r="J64" s="56">
        <v>0.14000000000000001</v>
      </c>
      <c r="K64" s="56">
        <v>5.2000000000000005E-2</v>
      </c>
      <c r="L64" s="56">
        <v>0.1</v>
      </c>
      <c r="M64" s="56">
        <v>176</v>
      </c>
      <c r="N64" s="56">
        <v>100</v>
      </c>
      <c r="O64" s="56">
        <v>7</v>
      </c>
      <c r="P64" s="56">
        <v>0.2</v>
      </c>
    </row>
    <row r="65" spans="1:16" ht="16.149999999999999" customHeight="1">
      <c r="B65" s="246" t="s">
        <v>305</v>
      </c>
      <c r="C65" s="55" t="s">
        <v>306</v>
      </c>
      <c r="D65" s="126">
        <v>100</v>
      </c>
      <c r="E65" s="41">
        <v>2.74</v>
      </c>
      <c r="F65" s="41">
        <v>0.06</v>
      </c>
      <c r="G65" s="41">
        <v>12.49</v>
      </c>
      <c r="H65" s="41">
        <v>61.45</v>
      </c>
      <c r="I65" s="41">
        <v>0</v>
      </c>
      <c r="J65" s="41">
        <v>3.78</v>
      </c>
      <c r="K65" s="41">
        <v>0</v>
      </c>
      <c r="L65" s="41">
        <v>7.0000000000000007E-2</v>
      </c>
      <c r="M65" s="41">
        <v>28.2</v>
      </c>
      <c r="N65" s="41">
        <v>10.1</v>
      </c>
      <c r="O65" s="41">
        <v>4.0199999999999996</v>
      </c>
      <c r="P65" s="41">
        <v>0.24</v>
      </c>
    </row>
    <row r="66" spans="1:16" ht="13.9" customHeight="1">
      <c r="B66" s="170" t="s">
        <v>189</v>
      </c>
      <c r="C66" s="55" t="s">
        <v>152</v>
      </c>
      <c r="D66" s="50" t="s">
        <v>109</v>
      </c>
      <c r="E66" s="56">
        <v>0.14000000000000001</v>
      </c>
      <c r="F66" s="56">
        <v>0.02</v>
      </c>
      <c r="G66" s="56">
        <v>15.2</v>
      </c>
      <c r="H66" s="56">
        <v>61.54</v>
      </c>
      <c r="I66" s="56">
        <v>0</v>
      </c>
      <c r="J66" s="56">
        <v>2.84</v>
      </c>
      <c r="K66" s="56">
        <v>0</v>
      </c>
      <c r="L66" s="56">
        <v>0.02</v>
      </c>
      <c r="M66" s="56">
        <v>14.2</v>
      </c>
      <c r="N66" s="56">
        <v>4.4000000000000004</v>
      </c>
      <c r="O66" s="56">
        <v>2.4</v>
      </c>
      <c r="P66" s="56">
        <v>0.36</v>
      </c>
    </row>
    <row r="67" spans="1:16" ht="14.45" customHeight="1">
      <c r="A67" s="40">
        <v>3</v>
      </c>
      <c r="B67" s="170"/>
      <c r="C67" s="170" t="s">
        <v>18</v>
      </c>
      <c r="D67" s="50"/>
      <c r="E67" s="170">
        <f>SUM(E62:E66)</f>
        <v>18.32</v>
      </c>
      <c r="F67" s="244">
        <f t="shared" ref="F67:P67" si="8">SUM(F62:F66)</f>
        <v>18.479999999999997</v>
      </c>
      <c r="G67" s="244">
        <f t="shared" si="8"/>
        <v>81.89</v>
      </c>
      <c r="H67" s="244">
        <f t="shared" si="8"/>
        <v>567.15</v>
      </c>
      <c r="I67" s="244">
        <f t="shared" si="8"/>
        <v>0.25609756097560982</v>
      </c>
      <c r="J67" s="244">
        <f t="shared" si="8"/>
        <v>9.2575609756097563</v>
      </c>
      <c r="K67" s="244">
        <f t="shared" si="8"/>
        <v>0.11053658536585367</v>
      </c>
      <c r="L67" s="244">
        <f t="shared" si="8"/>
        <v>0.8241463414634147</v>
      </c>
      <c r="M67" s="244">
        <f t="shared" si="8"/>
        <v>373.69756097560969</v>
      </c>
      <c r="N67" s="244">
        <f t="shared" si="8"/>
        <v>386.30487804878055</v>
      </c>
      <c r="O67" s="244">
        <f t="shared" si="8"/>
        <v>89.576097560975626</v>
      </c>
      <c r="P67" s="244">
        <f t="shared" si="8"/>
        <v>3.3707317073170739</v>
      </c>
    </row>
    <row r="68" spans="1:16" ht="13.9" customHeight="1">
      <c r="A68" s="40">
        <v>3</v>
      </c>
      <c r="B68" s="255" t="s">
        <v>19</v>
      </c>
      <c r="C68" s="255"/>
      <c r="D68" s="255"/>
      <c r="E68" s="255"/>
      <c r="F68" s="255"/>
      <c r="G68" s="255"/>
      <c r="H68" s="255"/>
      <c r="I68" s="255"/>
      <c r="J68" s="255"/>
      <c r="K68" s="255"/>
      <c r="L68" s="255"/>
      <c r="M68" s="255"/>
      <c r="N68" s="255"/>
      <c r="O68" s="255"/>
      <c r="P68" s="255"/>
    </row>
    <row r="69" spans="1:16" ht="15.6" customHeight="1">
      <c r="B69" s="244" t="s">
        <v>271</v>
      </c>
      <c r="C69" s="55" t="s">
        <v>270</v>
      </c>
      <c r="D69" s="245">
        <v>100</v>
      </c>
      <c r="E69" s="41">
        <v>1.1000000000000001</v>
      </c>
      <c r="F69" s="41">
        <v>0.2</v>
      </c>
      <c r="G69" s="41">
        <v>3.8</v>
      </c>
      <c r="H69" s="41">
        <v>21.4</v>
      </c>
      <c r="I69" s="41">
        <v>0.06</v>
      </c>
      <c r="J69" s="41">
        <v>25</v>
      </c>
      <c r="K69" s="41">
        <v>0</v>
      </c>
      <c r="L69" s="41">
        <v>0.7</v>
      </c>
      <c r="M69" s="41">
        <v>14</v>
      </c>
      <c r="N69" s="41">
        <v>26</v>
      </c>
      <c r="O69" s="41">
        <v>20</v>
      </c>
      <c r="P69" s="41">
        <v>0.9</v>
      </c>
    </row>
    <row r="70" spans="1:16" ht="16.149999999999999" customHeight="1">
      <c r="B70" s="170" t="s">
        <v>190</v>
      </c>
      <c r="C70" s="55" t="s">
        <v>221</v>
      </c>
      <c r="D70" s="50" t="s">
        <v>181</v>
      </c>
      <c r="E70" s="41">
        <v>1.9326923076923075</v>
      </c>
      <c r="F70" s="41">
        <v>8.1730769230769234</v>
      </c>
      <c r="G70" s="41">
        <v>14.75</v>
      </c>
      <c r="H70" s="41">
        <v>140.28846153846155</v>
      </c>
      <c r="I70" s="41">
        <v>2.8846153846153843E-3</v>
      </c>
      <c r="J70" s="41">
        <v>0.27884615384615385</v>
      </c>
      <c r="K70" s="41">
        <v>19.471153846153847</v>
      </c>
      <c r="L70" s="41">
        <v>1.9903846153846154</v>
      </c>
      <c r="M70" s="41">
        <v>33.692307692307693</v>
      </c>
      <c r="N70" s="41">
        <v>25.81730769230769</v>
      </c>
      <c r="O70" s="41">
        <v>48.22115384615384</v>
      </c>
      <c r="P70" s="41">
        <v>1.4615384615384617</v>
      </c>
    </row>
    <row r="71" spans="1:16" ht="14.45" customHeight="1">
      <c r="B71" s="244" t="s">
        <v>215</v>
      </c>
      <c r="C71" s="55" t="s">
        <v>214</v>
      </c>
      <c r="D71" s="245">
        <v>100</v>
      </c>
      <c r="E71" s="41">
        <v>4.08</v>
      </c>
      <c r="F71" s="41">
        <v>8.7200000000000006</v>
      </c>
      <c r="G71" s="41">
        <v>6.32</v>
      </c>
      <c r="H71" s="41">
        <v>120.08</v>
      </c>
      <c r="I71" s="41">
        <v>3.2000000000000001E-2</v>
      </c>
      <c r="J71" s="41">
        <v>4.8000000000000001E-2</v>
      </c>
      <c r="K71" s="41">
        <v>0.76800000000000002</v>
      </c>
      <c r="L71" s="41">
        <v>0.84</v>
      </c>
      <c r="M71" s="41">
        <v>19.184000000000001</v>
      </c>
      <c r="N71" s="41">
        <v>12.696</v>
      </c>
      <c r="O71" s="41">
        <v>81.632000000000005</v>
      </c>
      <c r="P71" s="41">
        <v>1.1279999999999999</v>
      </c>
    </row>
    <row r="72" spans="1:16" ht="16.149999999999999" customHeight="1">
      <c r="B72" s="170" t="s">
        <v>58</v>
      </c>
      <c r="C72" s="55" t="s">
        <v>51</v>
      </c>
      <c r="D72" s="50">
        <v>180</v>
      </c>
      <c r="E72" s="41">
        <v>3.6719999999999997</v>
      </c>
      <c r="F72" s="41">
        <v>5.76</v>
      </c>
      <c r="G72" s="41">
        <v>24.534000000000002</v>
      </c>
      <c r="H72" s="41">
        <v>164.66400000000002</v>
      </c>
      <c r="I72" s="41">
        <v>0.16200000000000001</v>
      </c>
      <c r="J72" s="41">
        <v>21.797999999999998</v>
      </c>
      <c r="K72" s="41">
        <v>3.6000000000000004E-2</v>
      </c>
      <c r="L72" s="41">
        <v>0.21599999999999997</v>
      </c>
      <c r="M72" s="41">
        <v>44.37</v>
      </c>
      <c r="N72" s="41">
        <v>103.914</v>
      </c>
      <c r="O72" s="41">
        <v>33.299999999999997</v>
      </c>
      <c r="P72" s="41">
        <v>1.2060000000000002</v>
      </c>
    </row>
    <row r="73" spans="1:16" ht="16.149999999999999" customHeight="1">
      <c r="B73" s="170" t="s">
        <v>151</v>
      </c>
      <c r="C73" s="55" t="s">
        <v>49</v>
      </c>
      <c r="D73" s="50">
        <v>200</v>
      </c>
      <c r="E73" s="41">
        <v>0.16</v>
      </c>
      <c r="F73" s="41">
        <v>0.16</v>
      </c>
      <c r="G73" s="41">
        <v>19.88</v>
      </c>
      <c r="H73" s="41">
        <v>81.599999999999994</v>
      </c>
      <c r="I73" s="41">
        <v>0.02</v>
      </c>
      <c r="J73" s="41">
        <v>0.9</v>
      </c>
      <c r="K73" s="41">
        <v>0</v>
      </c>
      <c r="L73" s="41">
        <v>0.08</v>
      </c>
      <c r="M73" s="41">
        <v>13.94</v>
      </c>
      <c r="N73" s="41">
        <v>4.4000000000000004</v>
      </c>
      <c r="O73" s="41">
        <v>5.14</v>
      </c>
      <c r="P73" s="41">
        <v>0.93600000000000005</v>
      </c>
    </row>
    <row r="74" spans="1:16" ht="16.149999999999999" customHeight="1">
      <c r="B74" s="170" t="s">
        <v>57</v>
      </c>
      <c r="C74" s="55" t="s">
        <v>20</v>
      </c>
      <c r="D74" s="50">
        <v>40</v>
      </c>
      <c r="E74" s="41">
        <v>3.0666666666666664</v>
      </c>
      <c r="F74" s="41">
        <v>0.26666666666666672</v>
      </c>
      <c r="G74" s="41">
        <v>19.733333333333334</v>
      </c>
      <c r="H74" s="41">
        <v>93.6</v>
      </c>
      <c r="I74" s="41">
        <v>0</v>
      </c>
      <c r="J74" s="41">
        <v>0</v>
      </c>
      <c r="K74" s="41">
        <v>0</v>
      </c>
      <c r="L74" s="41">
        <v>0.4</v>
      </c>
      <c r="M74" s="41">
        <v>8</v>
      </c>
      <c r="N74" s="41">
        <v>26</v>
      </c>
      <c r="O74" s="41">
        <v>5.6000000000000014</v>
      </c>
      <c r="P74" s="41">
        <v>0.4</v>
      </c>
    </row>
    <row r="75" spans="1:16" ht="15" customHeight="1">
      <c r="A75" s="40">
        <v>3</v>
      </c>
      <c r="B75" s="170" t="s">
        <v>150</v>
      </c>
      <c r="C75" s="55" t="s">
        <v>21</v>
      </c>
      <c r="D75" s="50">
        <v>50</v>
      </c>
      <c r="E75" s="41">
        <v>3.25</v>
      </c>
      <c r="F75" s="41">
        <v>0.625</v>
      </c>
      <c r="G75" s="41">
        <v>19.75</v>
      </c>
      <c r="H75" s="41">
        <v>97.625</v>
      </c>
      <c r="I75" s="41">
        <v>0.125</v>
      </c>
      <c r="J75" s="41">
        <v>0</v>
      </c>
      <c r="K75" s="41">
        <v>0</v>
      </c>
      <c r="L75" s="41">
        <v>0.75</v>
      </c>
      <c r="M75" s="41">
        <v>14.499999999999998</v>
      </c>
      <c r="N75" s="41">
        <v>75</v>
      </c>
      <c r="O75" s="41">
        <v>23.5</v>
      </c>
      <c r="P75" s="41">
        <v>2</v>
      </c>
    </row>
    <row r="76" spans="1:16" ht="13.9" customHeight="1">
      <c r="A76" s="40">
        <v>3</v>
      </c>
      <c r="B76" s="170"/>
      <c r="C76" s="170" t="s">
        <v>18</v>
      </c>
      <c r="D76" s="50"/>
      <c r="E76" s="170">
        <f>SUM(E69:E75)</f>
        <v>17.261358974358973</v>
      </c>
      <c r="F76" s="244">
        <f t="shared" ref="F76:P76" si="9">SUM(F69:F75)</f>
        <v>23.904743589743585</v>
      </c>
      <c r="G76" s="244">
        <f t="shared" si="9"/>
        <v>108.76733333333334</v>
      </c>
      <c r="H76" s="244">
        <f t="shared" si="9"/>
        <v>719.2574615384616</v>
      </c>
      <c r="I76" s="244">
        <f t="shared" si="9"/>
        <v>0.4018846153846154</v>
      </c>
      <c r="J76" s="244">
        <f t="shared" si="9"/>
        <v>48.024846153846148</v>
      </c>
      <c r="K76" s="244">
        <f t="shared" si="9"/>
        <v>20.275153846153849</v>
      </c>
      <c r="L76" s="244">
        <f t="shared" si="9"/>
        <v>4.9763846153846156</v>
      </c>
      <c r="M76" s="244">
        <f t="shared" si="9"/>
        <v>147.68630769230768</v>
      </c>
      <c r="N76" s="244">
        <f t="shared" si="9"/>
        <v>273.82730769230773</v>
      </c>
      <c r="O76" s="244">
        <f t="shared" si="9"/>
        <v>217.39315384615381</v>
      </c>
      <c r="P76" s="244">
        <f t="shared" si="9"/>
        <v>8.031538461538462</v>
      </c>
    </row>
    <row r="77" spans="1:16" ht="18" customHeight="1">
      <c r="A77" s="40">
        <v>3</v>
      </c>
      <c r="B77" s="255" t="s">
        <v>22</v>
      </c>
      <c r="C77" s="255"/>
      <c r="D77" s="255"/>
      <c r="E77" s="255"/>
      <c r="F77" s="255"/>
      <c r="G77" s="255"/>
      <c r="H77" s="255"/>
      <c r="I77" s="255"/>
      <c r="J77" s="255"/>
      <c r="K77" s="255"/>
      <c r="L77" s="255"/>
      <c r="M77" s="255"/>
      <c r="N77" s="255"/>
      <c r="O77" s="255"/>
      <c r="P77" s="255"/>
    </row>
    <row r="78" spans="1:16" ht="22.15" customHeight="1">
      <c r="A78" s="40">
        <v>3</v>
      </c>
      <c r="B78" s="50" t="s">
        <v>225</v>
      </c>
      <c r="C78" s="55" t="s">
        <v>287</v>
      </c>
      <c r="D78" s="50">
        <v>100</v>
      </c>
      <c r="E78" s="41">
        <v>4</v>
      </c>
      <c r="F78" s="41">
        <v>4.7</v>
      </c>
      <c r="G78" s="41">
        <v>27.8</v>
      </c>
      <c r="H78" s="41">
        <v>169.5</v>
      </c>
      <c r="I78" s="41">
        <v>0.1</v>
      </c>
      <c r="J78" s="41">
        <v>0.1</v>
      </c>
      <c r="K78" s="41">
        <v>0</v>
      </c>
      <c r="L78" s="41">
        <v>1.3</v>
      </c>
      <c r="M78" s="41">
        <v>75.8</v>
      </c>
      <c r="N78" s="41">
        <v>140</v>
      </c>
      <c r="O78" s="41">
        <v>34.6</v>
      </c>
      <c r="P78" s="41">
        <v>1.5</v>
      </c>
    </row>
    <row r="79" spans="1:16" ht="14.45" customHeight="1">
      <c r="A79" s="40">
        <v>3</v>
      </c>
      <c r="B79" s="50" t="s">
        <v>147</v>
      </c>
      <c r="C79" s="55" t="s">
        <v>224</v>
      </c>
      <c r="D79" s="50">
        <v>200</v>
      </c>
      <c r="E79" s="41">
        <v>11.6</v>
      </c>
      <c r="F79" s="41">
        <v>10</v>
      </c>
      <c r="G79" s="41">
        <v>16</v>
      </c>
      <c r="H79" s="41">
        <v>200.4</v>
      </c>
      <c r="I79" s="41">
        <v>0.08</v>
      </c>
      <c r="J79" s="41">
        <v>0</v>
      </c>
      <c r="K79" s="41">
        <v>0.08</v>
      </c>
      <c r="L79" s="41">
        <v>1.2</v>
      </c>
      <c r="M79" s="41">
        <v>9.6</v>
      </c>
      <c r="N79" s="41">
        <v>26.4</v>
      </c>
      <c r="O79" s="41">
        <v>3.6</v>
      </c>
      <c r="P79" s="41">
        <v>0.36</v>
      </c>
    </row>
    <row r="80" spans="1:16" ht="14.45" customHeight="1">
      <c r="A80" s="40">
        <v>3</v>
      </c>
      <c r="B80" s="170"/>
      <c r="C80" s="170" t="s">
        <v>18</v>
      </c>
      <c r="D80" s="50"/>
      <c r="E80" s="170">
        <f>SUM(E78:E79)</f>
        <v>15.6</v>
      </c>
      <c r="F80" s="244">
        <f t="shared" ref="F80:P80" si="10">SUM(F78:F79)</f>
        <v>14.7</v>
      </c>
      <c r="G80" s="244">
        <f t="shared" si="10"/>
        <v>43.8</v>
      </c>
      <c r="H80" s="244">
        <f t="shared" si="10"/>
        <v>369.9</v>
      </c>
      <c r="I80" s="244">
        <f t="shared" si="10"/>
        <v>0.18</v>
      </c>
      <c r="J80" s="244">
        <f t="shared" si="10"/>
        <v>0.1</v>
      </c>
      <c r="K80" s="244">
        <f t="shared" si="10"/>
        <v>0.08</v>
      </c>
      <c r="L80" s="244">
        <f t="shared" si="10"/>
        <v>2.5</v>
      </c>
      <c r="M80" s="244">
        <f t="shared" si="10"/>
        <v>85.399999999999991</v>
      </c>
      <c r="N80" s="244">
        <f t="shared" si="10"/>
        <v>166.4</v>
      </c>
      <c r="O80" s="244">
        <f t="shared" si="10"/>
        <v>38.200000000000003</v>
      </c>
      <c r="P80" s="244">
        <f t="shared" si="10"/>
        <v>1.8599999999999999</v>
      </c>
    </row>
    <row r="81" spans="1:16" ht="18" customHeight="1">
      <c r="A81" s="40">
        <v>3</v>
      </c>
      <c r="B81" s="170"/>
      <c r="C81" s="170" t="s">
        <v>27</v>
      </c>
      <c r="D81" s="50"/>
      <c r="E81" s="170">
        <f>SUM(E67+E76+E80)</f>
        <v>51.181358974358979</v>
      </c>
      <c r="F81" s="244">
        <f t="shared" ref="F81:P81" si="11">SUM(F67+F76+F80)</f>
        <v>57.084743589743582</v>
      </c>
      <c r="G81" s="244">
        <f t="shared" si="11"/>
        <v>234.45733333333334</v>
      </c>
      <c r="H81" s="244">
        <f t="shared" si="11"/>
        <v>1656.3074615384617</v>
      </c>
      <c r="I81" s="244">
        <f t="shared" si="11"/>
        <v>0.8379821763602251</v>
      </c>
      <c r="J81" s="244">
        <f t="shared" si="11"/>
        <v>57.382407129455906</v>
      </c>
      <c r="K81" s="244">
        <f t="shared" si="11"/>
        <v>20.4656904315197</v>
      </c>
      <c r="L81" s="244">
        <f t="shared" si="11"/>
        <v>8.3005309568480303</v>
      </c>
      <c r="M81" s="244">
        <f t="shared" si="11"/>
        <v>606.78386866791732</v>
      </c>
      <c r="N81" s="244">
        <f t="shared" si="11"/>
        <v>826.53218574108826</v>
      </c>
      <c r="O81" s="244">
        <f t="shared" si="11"/>
        <v>345.16925140712942</v>
      </c>
      <c r="P81" s="244">
        <f t="shared" si="11"/>
        <v>13.262270168855535</v>
      </c>
    </row>
    <row r="82" spans="1:16" s="36" customFormat="1" ht="20.100000000000001" customHeight="1">
      <c r="B82" s="42"/>
      <c r="C82" s="42"/>
      <c r="D82" s="236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</row>
    <row r="83" spans="1:16" s="36" customFormat="1" ht="20.100000000000001" customHeight="1">
      <c r="B83" s="206" t="s">
        <v>139</v>
      </c>
      <c r="C83" s="38"/>
      <c r="D83" s="236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</row>
    <row r="84" spans="1:16" s="36" customFormat="1" ht="20.100000000000001" customHeight="1">
      <c r="B84" s="206" t="s">
        <v>135</v>
      </c>
      <c r="C84" s="38"/>
      <c r="D84" s="236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</row>
    <row r="85" spans="1:16" s="36" customFormat="1" ht="20.100000000000001" customHeight="1">
      <c r="B85" s="206" t="s">
        <v>196</v>
      </c>
      <c r="C85" s="38"/>
      <c r="D85" s="236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</row>
    <row r="86" spans="1:16" s="36" customFormat="1" ht="20.100000000000001" customHeight="1">
      <c r="B86" s="42"/>
      <c r="C86" s="42"/>
      <c r="D86" s="236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</row>
    <row r="87" spans="1:16" s="36" customFormat="1" ht="32.25" customHeight="1">
      <c r="B87" s="256" t="s">
        <v>0</v>
      </c>
      <c r="C87" s="256" t="s">
        <v>1</v>
      </c>
      <c r="D87" s="257" t="s">
        <v>2</v>
      </c>
      <c r="E87" s="255" t="s">
        <v>3</v>
      </c>
      <c r="F87" s="255"/>
      <c r="G87" s="255"/>
      <c r="H87" s="255" t="s">
        <v>4</v>
      </c>
      <c r="I87" s="255" t="s">
        <v>5</v>
      </c>
      <c r="J87" s="255"/>
      <c r="K87" s="255"/>
      <c r="L87" s="255"/>
      <c r="M87" s="255" t="s">
        <v>6</v>
      </c>
      <c r="N87" s="255"/>
      <c r="O87" s="255"/>
      <c r="P87" s="255"/>
    </row>
    <row r="88" spans="1:16" s="36" customFormat="1" ht="24" customHeight="1">
      <c r="B88" s="256"/>
      <c r="C88" s="256"/>
      <c r="D88" s="257"/>
      <c r="E88" s="170" t="s">
        <v>7</v>
      </c>
      <c r="F88" s="170" t="s">
        <v>8</v>
      </c>
      <c r="G88" s="170" t="s">
        <v>9</v>
      </c>
      <c r="H88" s="255"/>
      <c r="I88" s="170" t="s">
        <v>136</v>
      </c>
      <c r="J88" s="170" t="s">
        <v>10</v>
      </c>
      <c r="K88" s="170" t="s">
        <v>11</v>
      </c>
      <c r="L88" s="170" t="s">
        <v>12</v>
      </c>
      <c r="M88" s="170" t="s">
        <v>13</v>
      </c>
      <c r="N88" s="170" t="s">
        <v>14</v>
      </c>
      <c r="O88" s="170" t="s">
        <v>15</v>
      </c>
      <c r="P88" s="170" t="s">
        <v>16</v>
      </c>
    </row>
    <row r="89" spans="1:16" ht="15.6" customHeight="1">
      <c r="A89" s="40">
        <v>4</v>
      </c>
      <c r="B89" s="255" t="s">
        <v>17</v>
      </c>
      <c r="C89" s="255"/>
      <c r="D89" s="255"/>
      <c r="E89" s="255"/>
      <c r="F89" s="255"/>
      <c r="G89" s="255"/>
      <c r="H89" s="255"/>
      <c r="I89" s="255"/>
      <c r="J89" s="255"/>
      <c r="K89" s="255"/>
      <c r="L89" s="255"/>
      <c r="M89" s="255"/>
      <c r="N89" s="255"/>
      <c r="O89" s="255"/>
      <c r="P89" s="255"/>
    </row>
    <row r="90" spans="1:16" ht="29.45" customHeight="1">
      <c r="A90" s="40">
        <v>4</v>
      </c>
      <c r="B90" s="170" t="s">
        <v>227</v>
      </c>
      <c r="C90" s="55" t="s">
        <v>301</v>
      </c>
      <c r="D90" s="50" t="s">
        <v>179</v>
      </c>
      <c r="E90" s="41">
        <v>20.159999999999997</v>
      </c>
      <c r="F90" s="41">
        <v>18.899999999999999</v>
      </c>
      <c r="G90" s="41">
        <v>22.679999999999996</v>
      </c>
      <c r="H90" s="41">
        <v>341.46</v>
      </c>
      <c r="I90" s="41">
        <v>7.0875000000000007E-2</v>
      </c>
      <c r="J90" s="41">
        <v>0.34875000000000006</v>
      </c>
      <c r="K90" s="41">
        <v>11.368124999999999</v>
      </c>
      <c r="L90" s="41">
        <v>0.95062499999999983</v>
      </c>
      <c r="M90" s="41">
        <v>157.99499999999998</v>
      </c>
      <c r="N90" s="41">
        <v>234.33750000000001</v>
      </c>
      <c r="O90" s="41">
        <v>28.012499999999996</v>
      </c>
      <c r="P90" s="41">
        <v>0.69750000000000012</v>
      </c>
    </row>
    <row r="91" spans="1:16" ht="18" customHeight="1">
      <c r="A91" s="40">
        <v>4</v>
      </c>
      <c r="B91" s="170"/>
      <c r="C91" s="55" t="s">
        <v>193</v>
      </c>
      <c r="D91" s="50">
        <v>55</v>
      </c>
      <c r="E91" s="41">
        <v>1.8149999999999999</v>
      </c>
      <c r="F91" s="41">
        <v>2.145</v>
      </c>
      <c r="G91" s="41">
        <v>11.517000000000001</v>
      </c>
      <c r="H91" s="41">
        <v>72.632999999999996</v>
      </c>
      <c r="I91" s="41">
        <v>1.1000000000000001E-2</v>
      </c>
      <c r="J91" s="41">
        <v>2.75E-2</v>
      </c>
      <c r="K91" s="41">
        <v>3.3000000000000002E-2</v>
      </c>
      <c r="L91" s="41">
        <v>1.3859999999999999</v>
      </c>
      <c r="M91" s="41">
        <v>10.131000000000002</v>
      </c>
      <c r="N91" s="41">
        <v>18.931000000000001</v>
      </c>
      <c r="O91" s="41">
        <v>2.1120000000000001</v>
      </c>
      <c r="P91" s="41">
        <v>0.23099999999999998</v>
      </c>
    </row>
    <row r="92" spans="1:16" ht="18" customHeight="1">
      <c r="B92" s="170" t="s">
        <v>192</v>
      </c>
      <c r="C92" s="55" t="s">
        <v>26</v>
      </c>
      <c r="D92" s="50" t="s">
        <v>292</v>
      </c>
      <c r="E92" s="41">
        <v>0.08</v>
      </c>
      <c r="F92" s="41">
        <v>0.02</v>
      </c>
      <c r="G92" s="41">
        <v>15</v>
      </c>
      <c r="H92" s="41">
        <v>60.5</v>
      </c>
      <c r="I92" s="41">
        <v>0</v>
      </c>
      <c r="J92" s="41">
        <v>0</v>
      </c>
      <c r="K92" s="41">
        <v>0.04</v>
      </c>
      <c r="L92" s="41">
        <v>0</v>
      </c>
      <c r="M92" s="41">
        <v>11.1</v>
      </c>
      <c r="N92" s="41">
        <v>1.4</v>
      </c>
      <c r="O92" s="41">
        <v>2.8</v>
      </c>
      <c r="P92" s="41">
        <v>0.28000000000000003</v>
      </c>
    </row>
    <row r="93" spans="1:16" ht="14.45" customHeight="1">
      <c r="A93" s="40">
        <v>4</v>
      </c>
      <c r="B93" s="170"/>
      <c r="C93" s="170" t="s">
        <v>18</v>
      </c>
      <c r="D93" s="50"/>
      <c r="E93" s="170">
        <f>SUM(E90:E92)</f>
        <v>22.054999999999996</v>
      </c>
      <c r="F93" s="244">
        <f t="shared" ref="F93:P93" si="12">SUM(F90:F92)</f>
        <v>21.064999999999998</v>
      </c>
      <c r="G93" s="244">
        <f t="shared" si="12"/>
        <v>49.196999999999996</v>
      </c>
      <c r="H93" s="244">
        <f t="shared" si="12"/>
        <v>474.59299999999996</v>
      </c>
      <c r="I93" s="244">
        <f t="shared" si="12"/>
        <v>8.1875000000000003E-2</v>
      </c>
      <c r="J93" s="244">
        <f t="shared" si="12"/>
        <v>0.37625000000000008</v>
      </c>
      <c r="K93" s="244">
        <f t="shared" si="12"/>
        <v>11.441124999999998</v>
      </c>
      <c r="L93" s="244">
        <f t="shared" si="12"/>
        <v>2.3366249999999997</v>
      </c>
      <c r="M93" s="244">
        <f t="shared" si="12"/>
        <v>179.22599999999997</v>
      </c>
      <c r="N93" s="244">
        <f t="shared" si="12"/>
        <v>254.66850000000002</v>
      </c>
      <c r="O93" s="244">
        <f t="shared" si="12"/>
        <v>32.924499999999995</v>
      </c>
      <c r="P93" s="244">
        <f t="shared" si="12"/>
        <v>1.2085000000000001</v>
      </c>
    </row>
    <row r="94" spans="1:16" ht="15.6" customHeight="1">
      <c r="A94" s="40">
        <v>4</v>
      </c>
      <c r="B94" s="255" t="s">
        <v>19</v>
      </c>
      <c r="C94" s="255"/>
      <c r="D94" s="255"/>
      <c r="E94" s="255"/>
      <c r="F94" s="255"/>
      <c r="G94" s="255"/>
      <c r="H94" s="255"/>
      <c r="I94" s="255"/>
      <c r="J94" s="255"/>
      <c r="K94" s="255"/>
      <c r="L94" s="255"/>
      <c r="M94" s="255"/>
      <c r="N94" s="255"/>
      <c r="O94" s="255"/>
      <c r="P94" s="255"/>
    </row>
    <row r="95" spans="1:16" ht="16.899999999999999" customHeight="1">
      <c r="A95" s="40">
        <v>4</v>
      </c>
      <c r="B95" s="170" t="s">
        <v>148</v>
      </c>
      <c r="C95" s="55" t="s">
        <v>210</v>
      </c>
      <c r="D95" s="50">
        <v>100</v>
      </c>
      <c r="E95" s="41">
        <v>0.8</v>
      </c>
      <c r="F95" s="41">
        <v>0.1</v>
      </c>
      <c r="G95" s="41">
        <v>2.5</v>
      </c>
      <c r="H95" s="41">
        <v>14.100000000000001</v>
      </c>
      <c r="I95" s="41">
        <v>0</v>
      </c>
      <c r="J95" s="41">
        <v>10</v>
      </c>
      <c r="K95" s="41">
        <v>0</v>
      </c>
      <c r="L95" s="41">
        <v>0</v>
      </c>
      <c r="M95" s="41">
        <v>23.3</v>
      </c>
      <c r="N95" s="41">
        <v>41.6</v>
      </c>
      <c r="O95" s="41">
        <v>14</v>
      </c>
      <c r="P95" s="41">
        <v>0.6</v>
      </c>
    </row>
    <row r="96" spans="1:16" ht="22.15" customHeight="1">
      <c r="A96" s="40">
        <v>4</v>
      </c>
      <c r="B96" s="170" t="s">
        <v>159</v>
      </c>
      <c r="C96" s="55" t="s">
        <v>228</v>
      </c>
      <c r="D96" s="50" t="s">
        <v>181</v>
      </c>
      <c r="E96" s="41">
        <v>2.86</v>
      </c>
      <c r="F96" s="41">
        <v>2.86</v>
      </c>
      <c r="G96" s="41">
        <v>18.2</v>
      </c>
      <c r="H96" s="41">
        <v>109.98</v>
      </c>
      <c r="I96" s="41">
        <v>0</v>
      </c>
      <c r="J96" s="41">
        <v>0</v>
      </c>
      <c r="K96" s="41">
        <v>8.58</v>
      </c>
      <c r="L96" s="41">
        <v>1.3</v>
      </c>
      <c r="M96" s="41">
        <v>30.42</v>
      </c>
      <c r="N96" s="41">
        <v>36.92</v>
      </c>
      <c r="O96" s="41">
        <v>70.2</v>
      </c>
      <c r="P96" s="41">
        <v>1.3</v>
      </c>
    </row>
    <row r="97" spans="1:16" ht="16.149999999999999" customHeight="1">
      <c r="A97" s="40">
        <v>4</v>
      </c>
      <c r="B97" s="170" t="s">
        <v>230</v>
      </c>
      <c r="C97" s="55" t="s">
        <v>229</v>
      </c>
      <c r="D97" s="50">
        <v>100</v>
      </c>
      <c r="E97" s="41">
        <v>12</v>
      </c>
      <c r="F97" s="41">
        <v>19.2</v>
      </c>
      <c r="G97" s="41">
        <v>4.8</v>
      </c>
      <c r="H97" s="41">
        <v>239.99999999999997</v>
      </c>
      <c r="I97" s="41">
        <v>0.1</v>
      </c>
      <c r="J97" s="41">
        <v>0.1</v>
      </c>
      <c r="K97" s="41">
        <v>0.4</v>
      </c>
      <c r="L97" s="41">
        <v>2.1</v>
      </c>
      <c r="M97" s="41">
        <v>24.4</v>
      </c>
      <c r="N97" s="41">
        <v>18.899999999999999</v>
      </c>
      <c r="O97" s="41">
        <v>163.4</v>
      </c>
      <c r="P97" s="41">
        <v>2</v>
      </c>
    </row>
    <row r="98" spans="1:16" ht="16.149999999999999" customHeight="1">
      <c r="B98" s="170" t="s">
        <v>164</v>
      </c>
      <c r="C98" s="55" t="s">
        <v>133</v>
      </c>
      <c r="D98" s="50">
        <v>180</v>
      </c>
      <c r="E98" s="41">
        <v>4.32</v>
      </c>
      <c r="F98" s="41">
        <v>4.8240000000000007</v>
      </c>
      <c r="G98" s="41">
        <v>37.764000000000003</v>
      </c>
      <c r="H98" s="41">
        <v>211.75200000000001</v>
      </c>
      <c r="I98" s="41">
        <v>3.6000000000000004E-2</v>
      </c>
      <c r="J98" s="41">
        <v>0</v>
      </c>
      <c r="K98" s="41">
        <v>23.22</v>
      </c>
      <c r="L98" s="41">
        <v>0.30599999999999999</v>
      </c>
      <c r="M98" s="41">
        <v>7.0920000000000005</v>
      </c>
      <c r="N98" s="41">
        <v>93.366</v>
      </c>
      <c r="O98" s="41">
        <v>30.545999999999999</v>
      </c>
      <c r="P98" s="41">
        <v>0.62999999999999989</v>
      </c>
    </row>
    <row r="99" spans="1:16" ht="15.6" customHeight="1">
      <c r="A99" s="40">
        <v>4</v>
      </c>
      <c r="B99" s="170" t="s">
        <v>154</v>
      </c>
      <c r="C99" s="55" t="s">
        <v>56</v>
      </c>
      <c r="D99" s="50">
        <v>200</v>
      </c>
      <c r="E99" s="41">
        <v>0.66</v>
      </c>
      <c r="F99" s="41">
        <v>0.1</v>
      </c>
      <c r="G99" s="41">
        <v>28.02</v>
      </c>
      <c r="H99" s="41">
        <v>115.62</v>
      </c>
      <c r="I99" s="41">
        <v>0.02</v>
      </c>
      <c r="J99" s="41">
        <v>0.68</v>
      </c>
      <c r="K99" s="41">
        <v>0</v>
      </c>
      <c r="L99" s="41">
        <v>0.5</v>
      </c>
      <c r="M99" s="41">
        <v>32.36</v>
      </c>
      <c r="N99" s="41">
        <v>23.44</v>
      </c>
      <c r="O99" s="41">
        <v>17.46</v>
      </c>
      <c r="P99" s="41">
        <v>0.68799999999999994</v>
      </c>
    </row>
    <row r="100" spans="1:16" ht="15.6" customHeight="1">
      <c r="B100" s="170" t="s">
        <v>57</v>
      </c>
      <c r="C100" s="55" t="s">
        <v>20</v>
      </c>
      <c r="D100" s="50">
        <v>40</v>
      </c>
      <c r="E100" s="41">
        <v>3.0666666666666664</v>
      </c>
      <c r="F100" s="41">
        <v>0.26666666666666672</v>
      </c>
      <c r="G100" s="41">
        <v>19.733333333333334</v>
      </c>
      <c r="H100" s="41">
        <v>93.6</v>
      </c>
      <c r="I100" s="41">
        <v>0</v>
      </c>
      <c r="J100" s="41">
        <v>0</v>
      </c>
      <c r="K100" s="41">
        <v>0</v>
      </c>
      <c r="L100" s="41">
        <v>0.4</v>
      </c>
      <c r="M100" s="41">
        <v>8</v>
      </c>
      <c r="N100" s="41">
        <v>26</v>
      </c>
      <c r="O100" s="41">
        <v>5.6000000000000014</v>
      </c>
      <c r="P100" s="41">
        <v>0.4</v>
      </c>
    </row>
    <row r="101" spans="1:16" ht="15.6" customHeight="1">
      <c r="B101" s="170" t="s">
        <v>150</v>
      </c>
      <c r="C101" s="55" t="s">
        <v>21</v>
      </c>
      <c r="D101" s="50">
        <v>50</v>
      </c>
      <c r="E101" s="41">
        <v>3.25</v>
      </c>
      <c r="F101" s="41">
        <v>0.625</v>
      </c>
      <c r="G101" s="41">
        <v>19.75</v>
      </c>
      <c r="H101" s="41">
        <v>97.625</v>
      </c>
      <c r="I101" s="41">
        <v>0.125</v>
      </c>
      <c r="J101" s="41">
        <v>0</v>
      </c>
      <c r="K101" s="41">
        <v>0</v>
      </c>
      <c r="L101" s="41">
        <v>0.75</v>
      </c>
      <c r="M101" s="41">
        <v>14.499999999999998</v>
      </c>
      <c r="N101" s="41">
        <v>75</v>
      </c>
      <c r="O101" s="41">
        <v>23.5</v>
      </c>
      <c r="P101" s="41">
        <v>2</v>
      </c>
    </row>
    <row r="102" spans="1:16" ht="15.6" customHeight="1">
      <c r="B102" s="230"/>
      <c r="C102" s="55" t="s">
        <v>216</v>
      </c>
      <c r="D102" s="50">
        <v>150</v>
      </c>
      <c r="E102" s="41">
        <v>0.6</v>
      </c>
      <c r="F102" s="41">
        <v>0.6</v>
      </c>
      <c r="G102" s="41">
        <v>14.7</v>
      </c>
      <c r="H102" s="41">
        <v>66.600000000000009</v>
      </c>
      <c r="I102" s="41">
        <v>4.4999999999999998E-2</v>
      </c>
      <c r="J102" s="41">
        <v>15</v>
      </c>
      <c r="K102" s="41">
        <v>0</v>
      </c>
      <c r="L102" s="41">
        <v>0.3</v>
      </c>
      <c r="M102" s="41">
        <v>24</v>
      </c>
      <c r="N102" s="41">
        <v>16.5</v>
      </c>
      <c r="O102" s="41">
        <v>13.5</v>
      </c>
      <c r="P102" s="41">
        <v>3.3</v>
      </c>
    </row>
    <row r="103" spans="1:16" ht="18" customHeight="1">
      <c r="A103" s="40">
        <v>4</v>
      </c>
      <c r="B103" s="170"/>
      <c r="C103" s="170" t="s">
        <v>18</v>
      </c>
      <c r="D103" s="50"/>
      <c r="E103" s="170">
        <f>SUM(E95:E102)</f>
        <v>27.556666666666668</v>
      </c>
      <c r="F103" s="244">
        <f t="shared" ref="F103:P103" si="13">SUM(F95:F102)</f>
        <v>28.57566666666667</v>
      </c>
      <c r="G103" s="244">
        <f t="shared" si="13"/>
        <v>145.46733333333333</v>
      </c>
      <c r="H103" s="244">
        <f t="shared" si="13"/>
        <v>949.27700000000004</v>
      </c>
      <c r="I103" s="244">
        <f t="shared" si="13"/>
        <v>0.32600000000000001</v>
      </c>
      <c r="J103" s="244">
        <f t="shared" si="13"/>
        <v>25.78</v>
      </c>
      <c r="K103" s="244">
        <f t="shared" si="13"/>
        <v>32.200000000000003</v>
      </c>
      <c r="L103" s="244">
        <f t="shared" si="13"/>
        <v>5.6560000000000006</v>
      </c>
      <c r="M103" s="244">
        <f t="shared" si="13"/>
        <v>164.072</v>
      </c>
      <c r="N103" s="244">
        <f t="shared" si="13"/>
        <v>331.726</v>
      </c>
      <c r="O103" s="244">
        <f t="shared" si="13"/>
        <v>338.20600000000002</v>
      </c>
      <c r="P103" s="244">
        <f t="shared" si="13"/>
        <v>10.917999999999999</v>
      </c>
    </row>
    <row r="104" spans="1:16" ht="13.9" customHeight="1">
      <c r="A104" s="40">
        <v>4</v>
      </c>
      <c r="B104" s="255" t="s">
        <v>22</v>
      </c>
      <c r="C104" s="255"/>
      <c r="D104" s="255"/>
      <c r="E104" s="255"/>
      <c r="F104" s="255"/>
      <c r="G104" s="255"/>
      <c r="H104" s="255"/>
      <c r="I104" s="255"/>
      <c r="J104" s="255"/>
      <c r="K104" s="255"/>
      <c r="L104" s="255"/>
      <c r="M104" s="255"/>
      <c r="N104" s="255"/>
      <c r="O104" s="255"/>
      <c r="P104" s="255"/>
    </row>
    <row r="105" spans="1:16" ht="14.45" customHeight="1">
      <c r="A105" s="40">
        <v>4</v>
      </c>
      <c r="B105" s="170" t="s">
        <v>162</v>
      </c>
      <c r="C105" s="55" t="s">
        <v>231</v>
      </c>
      <c r="D105" s="50">
        <v>100</v>
      </c>
      <c r="E105" s="41">
        <v>1.02</v>
      </c>
      <c r="F105" s="41">
        <v>1.8</v>
      </c>
      <c r="G105" s="41">
        <v>3.6</v>
      </c>
      <c r="H105" s="41">
        <v>34.68</v>
      </c>
      <c r="I105" s="41">
        <v>0</v>
      </c>
      <c r="J105" s="41">
        <v>3.72</v>
      </c>
      <c r="K105" s="41">
        <v>0</v>
      </c>
      <c r="L105" s="41">
        <v>1.32</v>
      </c>
      <c r="M105" s="41">
        <v>21.84</v>
      </c>
      <c r="N105" s="41">
        <v>21.84</v>
      </c>
      <c r="O105" s="41">
        <v>7.98</v>
      </c>
      <c r="P105" s="41">
        <v>0.42</v>
      </c>
    </row>
    <row r="106" spans="1:16" ht="14.45" customHeight="1">
      <c r="B106" s="170" t="s">
        <v>188</v>
      </c>
      <c r="C106" s="55" t="s">
        <v>232</v>
      </c>
      <c r="D106" s="50">
        <v>100</v>
      </c>
      <c r="E106" s="41">
        <v>9.44</v>
      </c>
      <c r="F106" s="41">
        <v>8.3360000000000003</v>
      </c>
      <c r="G106" s="41">
        <v>2.4319999999999999</v>
      </c>
      <c r="H106" s="41">
        <v>122.512</v>
      </c>
      <c r="I106" s="41">
        <v>6.480000000000001E-2</v>
      </c>
      <c r="J106" s="41">
        <v>0.08</v>
      </c>
      <c r="K106" s="41">
        <v>1.1439999999999999</v>
      </c>
      <c r="L106" s="41">
        <v>2.1920000000000002</v>
      </c>
      <c r="M106" s="41">
        <v>37.992000000000004</v>
      </c>
      <c r="N106" s="41">
        <v>22.984000000000002</v>
      </c>
      <c r="O106" s="41">
        <v>10.456</v>
      </c>
      <c r="P106" s="41">
        <v>1.4</v>
      </c>
    </row>
    <row r="107" spans="1:16" ht="14.45" customHeight="1">
      <c r="B107" s="170" t="s">
        <v>57</v>
      </c>
      <c r="C107" s="55" t="s">
        <v>20</v>
      </c>
      <c r="D107" s="50">
        <v>40</v>
      </c>
      <c r="E107" s="41">
        <v>3.0666666666666664</v>
      </c>
      <c r="F107" s="41">
        <v>0.26666666666666672</v>
      </c>
      <c r="G107" s="41">
        <v>19.733333333333334</v>
      </c>
      <c r="H107" s="41">
        <v>93.6</v>
      </c>
      <c r="I107" s="41">
        <v>0</v>
      </c>
      <c r="J107" s="41">
        <v>0</v>
      </c>
      <c r="K107" s="41">
        <v>0</v>
      </c>
      <c r="L107" s="41">
        <v>0.4</v>
      </c>
      <c r="M107" s="41">
        <v>8</v>
      </c>
      <c r="N107" s="41">
        <v>26</v>
      </c>
      <c r="O107" s="41">
        <v>5.6000000000000014</v>
      </c>
      <c r="P107" s="41">
        <v>0.4</v>
      </c>
    </row>
    <row r="108" spans="1:16" ht="15.6" customHeight="1">
      <c r="B108" s="170" t="s">
        <v>149</v>
      </c>
      <c r="C108" s="55" t="s">
        <v>55</v>
      </c>
      <c r="D108" s="50">
        <v>200</v>
      </c>
      <c r="E108" s="41">
        <v>0.28000000000000003</v>
      </c>
      <c r="F108" s="41">
        <v>0.1</v>
      </c>
      <c r="G108" s="41">
        <v>28.88</v>
      </c>
      <c r="H108" s="41">
        <v>117.54</v>
      </c>
      <c r="I108" s="41">
        <v>0</v>
      </c>
      <c r="J108" s="41">
        <v>19.3</v>
      </c>
      <c r="K108" s="41">
        <v>0</v>
      </c>
      <c r="L108" s="41">
        <v>0.16</v>
      </c>
      <c r="M108" s="41">
        <v>13.66</v>
      </c>
      <c r="N108" s="41">
        <v>7.38</v>
      </c>
      <c r="O108" s="41">
        <v>5.78</v>
      </c>
      <c r="P108" s="41">
        <v>0.46800000000000003</v>
      </c>
    </row>
    <row r="109" spans="1:16" ht="15.6" customHeight="1">
      <c r="A109" s="40">
        <v>4</v>
      </c>
      <c r="B109" s="170"/>
      <c r="C109" s="170" t="s">
        <v>18</v>
      </c>
      <c r="D109" s="50"/>
      <c r="E109" s="170">
        <f>SUM(E105:E108)</f>
        <v>13.806666666666665</v>
      </c>
      <c r="F109" s="244">
        <f t="shared" ref="F109:P109" si="14">SUM(F105:F108)</f>
        <v>10.502666666666668</v>
      </c>
      <c r="G109" s="244">
        <f t="shared" si="14"/>
        <v>54.645333333333333</v>
      </c>
      <c r="H109" s="244">
        <f t="shared" si="14"/>
        <v>368.33199999999999</v>
      </c>
      <c r="I109" s="244">
        <f t="shared" si="14"/>
        <v>6.480000000000001E-2</v>
      </c>
      <c r="J109" s="244">
        <f t="shared" si="14"/>
        <v>23.1</v>
      </c>
      <c r="K109" s="244">
        <f t="shared" si="14"/>
        <v>1.1439999999999999</v>
      </c>
      <c r="L109" s="244">
        <f t="shared" si="14"/>
        <v>4.0720000000000001</v>
      </c>
      <c r="M109" s="244">
        <f t="shared" si="14"/>
        <v>81.492000000000004</v>
      </c>
      <c r="N109" s="244">
        <f t="shared" si="14"/>
        <v>78.203999999999994</v>
      </c>
      <c r="O109" s="244">
        <f t="shared" si="14"/>
        <v>29.816000000000003</v>
      </c>
      <c r="P109" s="244">
        <f t="shared" si="14"/>
        <v>2.6879999999999997</v>
      </c>
    </row>
    <row r="110" spans="1:16" ht="17.45" customHeight="1">
      <c r="A110" s="40">
        <v>4</v>
      </c>
      <c r="B110" s="170"/>
      <c r="C110" s="170" t="s">
        <v>28</v>
      </c>
      <c r="D110" s="50"/>
      <c r="E110" s="170">
        <f>SUM(E93+E103+E109)</f>
        <v>63.418333333333329</v>
      </c>
      <c r="F110" s="244">
        <f t="shared" ref="F110:P110" si="15">SUM(F93+F103+F109)</f>
        <v>60.143333333333338</v>
      </c>
      <c r="G110" s="244">
        <f t="shared" si="15"/>
        <v>249.30966666666666</v>
      </c>
      <c r="H110" s="244">
        <f t="shared" si="15"/>
        <v>1792.2019999999998</v>
      </c>
      <c r="I110" s="244">
        <f t="shared" si="15"/>
        <v>0.47267500000000001</v>
      </c>
      <c r="J110" s="244">
        <f t="shared" si="15"/>
        <v>49.256250000000001</v>
      </c>
      <c r="K110" s="244">
        <f t="shared" si="15"/>
        <v>44.785125000000001</v>
      </c>
      <c r="L110" s="244">
        <f t="shared" si="15"/>
        <v>12.064624999999999</v>
      </c>
      <c r="M110" s="244">
        <f t="shared" si="15"/>
        <v>424.79</v>
      </c>
      <c r="N110" s="244">
        <f t="shared" si="15"/>
        <v>664.59849999999994</v>
      </c>
      <c r="O110" s="244">
        <f t="shared" si="15"/>
        <v>400.94650000000001</v>
      </c>
      <c r="P110" s="244">
        <f t="shared" si="15"/>
        <v>14.814499999999999</v>
      </c>
    </row>
    <row r="111" spans="1:16" s="36" customFormat="1" ht="20.100000000000001" customHeight="1">
      <c r="B111" s="42"/>
      <c r="C111" s="42"/>
      <c r="D111" s="236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</row>
    <row r="112" spans="1:16" s="36" customFormat="1" ht="20.100000000000001" customHeight="1">
      <c r="B112" s="206" t="s">
        <v>140</v>
      </c>
      <c r="C112" s="38"/>
      <c r="D112" s="236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</row>
    <row r="113" spans="1:16" s="36" customFormat="1" ht="20.100000000000001" customHeight="1">
      <c r="B113" s="206" t="s">
        <v>135</v>
      </c>
      <c r="C113" s="38"/>
      <c r="D113" s="236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</row>
    <row r="114" spans="1:16" s="36" customFormat="1" ht="20.100000000000001" customHeight="1">
      <c r="B114" s="206" t="s">
        <v>196</v>
      </c>
      <c r="C114" s="38"/>
      <c r="D114" s="236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</row>
    <row r="115" spans="1:16" s="36" customFormat="1" ht="20.100000000000001" hidden="1" customHeight="1">
      <c r="B115" s="42"/>
      <c r="C115" s="42"/>
      <c r="D115" s="236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</row>
    <row r="116" spans="1:16" s="36" customFormat="1" ht="39.75" customHeight="1">
      <c r="B116" s="256" t="s">
        <v>0</v>
      </c>
      <c r="C116" s="256" t="s">
        <v>1</v>
      </c>
      <c r="D116" s="257" t="s">
        <v>2</v>
      </c>
      <c r="E116" s="255" t="s">
        <v>3</v>
      </c>
      <c r="F116" s="255"/>
      <c r="G116" s="255"/>
      <c r="H116" s="255" t="s">
        <v>4</v>
      </c>
      <c r="I116" s="255" t="s">
        <v>5</v>
      </c>
      <c r="J116" s="255"/>
      <c r="K116" s="255"/>
      <c r="L116" s="255"/>
      <c r="M116" s="255" t="s">
        <v>6</v>
      </c>
      <c r="N116" s="255"/>
      <c r="O116" s="255"/>
      <c r="P116" s="255"/>
    </row>
    <row r="117" spans="1:16" s="36" customFormat="1" ht="19.899999999999999" customHeight="1">
      <c r="B117" s="256"/>
      <c r="C117" s="256"/>
      <c r="D117" s="257"/>
      <c r="E117" s="170" t="s">
        <v>7</v>
      </c>
      <c r="F117" s="170" t="s">
        <v>8</v>
      </c>
      <c r="G117" s="170" t="s">
        <v>9</v>
      </c>
      <c r="H117" s="255"/>
      <c r="I117" s="170" t="s">
        <v>136</v>
      </c>
      <c r="J117" s="170" t="s">
        <v>10</v>
      </c>
      <c r="K117" s="170" t="s">
        <v>11</v>
      </c>
      <c r="L117" s="170" t="s">
        <v>12</v>
      </c>
      <c r="M117" s="170" t="s">
        <v>13</v>
      </c>
      <c r="N117" s="170" t="s">
        <v>14</v>
      </c>
      <c r="O117" s="170" t="s">
        <v>15</v>
      </c>
      <c r="P117" s="170" t="s">
        <v>16</v>
      </c>
    </row>
    <row r="118" spans="1:16" ht="15.6" customHeight="1">
      <c r="A118" s="40">
        <v>5</v>
      </c>
      <c r="B118" s="255" t="s">
        <v>17</v>
      </c>
      <c r="C118" s="255"/>
      <c r="D118" s="255"/>
      <c r="E118" s="255"/>
      <c r="F118" s="255"/>
      <c r="G118" s="255"/>
      <c r="H118" s="255"/>
      <c r="I118" s="255"/>
      <c r="J118" s="255"/>
      <c r="K118" s="255"/>
      <c r="L118" s="255"/>
      <c r="M118" s="255"/>
      <c r="N118" s="255"/>
      <c r="O118" s="255"/>
      <c r="P118" s="255"/>
    </row>
    <row r="119" spans="1:16" ht="27" customHeight="1">
      <c r="A119" s="40">
        <v>5</v>
      </c>
      <c r="B119" s="170" t="s">
        <v>234</v>
      </c>
      <c r="C119" s="55" t="s">
        <v>233</v>
      </c>
      <c r="D119" s="50">
        <v>200</v>
      </c>
      <c r="E119" s="41">
        <v>13.25</v>
      </c>
      <c r="F119" s="41">
        <v>12</v>
      </c>
      <c r="G119" s="41">
        <v>47.75</v>
      </c>
      <c r="H119" s="41">
        <v>352</v>
      </c>
      <c r="I119" s="41">
        <v>7.4999999999999997E-2</v>
      </c>
      <c r="J119" s="41">
        <v>7.4999999999999997E-2</v>
      </c>
      <c r="K119" s="41">
        <v>7.4999999999999997E-2</v>
      </c>
      <c r="L119" s="41">
        <v>1.175</v>
      </c>
      <c r="M119" s="41">
        <v>210</v>
      </c>
      <c r="N119" s="41">
        <v>166.75</v>
      </c>
      <c r="O119" s="41">
        <v>18.25</v>
      </c>
      <c r="P119" s="41">
        <v>1.25</v>
      </c>
    </row>
    <row r="120" spans="1:16" ht="17.45" customHeight="1">
      <c r="A120" s="40">
        <v>5</v>
      </c>
      <c r="B120" s="170"/>
      <c r="C120" s="55" t="s">
        <v>193</v>
      </c>
      <c r="D120" s="50">
        <v>38</v>
      </c>
      <c r="E120" s="41">
        <v>2.09</v>
      </c>
      <c r="F120" s="41">
        <v>2.4700000000000002</v>
      </c>
      <c r="G120" s="41">
        <v>13.262</v>
      </c>
      <c r="H120" s="41">
        <v>83.637999999999991</v>
      </c>
      <c r="I120" s="41">
        <v>1.52E-2</v>
      </c>
      <c r="J120" s="41">
        <v>3.4200000000000001E-2</v>
      </c>
      <c r="K120" s="41">
        <v>3.8000000000000006E-2</v>
      </c>
      <c r="L120" s="41">
        <v>1.5959999999999999</v>
      </c>
      <c r="M120" s="41">
        <v>11.665999999999999</v>
      </c>
      <c r="N120" s="41">
        <v>21.698</v>
      </c>
      <c r="O120" s="41">
        <v>2.4320000000000004</v>
      </c>
      <c r="P120" s="41">
        <v>0.26599999999999996</v>
      </c>
    </row>
    <row r="121" spans="1:16" ht="16.149999999999999" customHeight="1">
      <c r="A121" s="40">
        <v>5</v>
      </c>
      <c r="B121" s="170"/>
      <c r="C121" s="55" t="s">
        <v>216</v>
      </c>
      <c r="D121" s="50">
        <v>150</v>
      </c>
      <c r="E121" s="41">
        <v>0.6</v>
      </c>
      <c r="F121" s="41">
        <v>0.6</v>
      </c>
      <c r="G121" s="41">
        <v>14.7</v>
      </c>
      <c r="H121" s="41">
        <v>66.600000000000009</v>
      </c>
      <c r="I121" s="41">
        <v>4.4999999999999998E-2</v>
      </c>
      <c r="J121" s="41">
        <v>15</v>
      </c>
      <c r="K121" s="41">
        <v>0</v>
      </c>
      <c r="L121" s="41">
        <v>0.3</v>
      </c>
      <c r="M121" s="41">
        <v>24</v>
      </c>
      <c r="N121" s="41">
        <v>16.5</v>
      </c>
      <c r="O121" s="41">
        <v>13.5</v>
      </c>
      <c r="P121" s="41">
        <v>3.3</v>
      </c>
    </row>
    <row r="122" spans="1:16" ht="15.6" customHeight="1">
      <c r="A122" s="40">
        <v>5</v>
      </c>
      <c r="B122" s="170" t="s">
        <v>192</v>
      </c>
      <c r="C122" s="55" t="s">
        <v>26</v>
      </c>
      <c r="D122" s="50" t="s">
        <v>110</v>
      </c>
      <c r="E122" s="41">
        <v>0.08</v>
      </c>
      <c r="F122" s="41">
        <v>0.02</v>
      </c>
      <c r="G122" s="41">
        <v>15</v>
      </c>
      <c r="H122" s="41">
        <v>60.5</v>
      </c>
      <c r="I122" s="41">
        <v>0</v>
      </c>
      <c r="J122" s="41">
        <v>0</v>
      </c>
      <c r="K122" s="41">
        <v>0.04</v>
      </c>
      <c r="L122" s="41">
        <v>0</v>
      </c>
      <c r="M122" s="41">
        <v>11.1</v>
      </c>
      <c r="N122" s="41">
        <v>1.4</v>
      </c>
      <c r="O122" s="41">
        <v>2.8</v>
      </c>
      <c r="P122" s="41">
        <v>0.28000000000000003</v>
      </c>
    </row>
    <row r="123" spans="1:16" ht="18" customHeight="1">
      <c r="A123" s="40">
        <v>5</v>
      </c>
      <c r="B123" s="170"/>
      <c r="C123" s="170" t="s">
        <v>18</v>
      </c>
      <c r="D123" s="50"/>
      <c r="E123" s="170">
        <f>SUM(E119:E122)</f>
        <v>16.02</v>
      </c>
      <c r="F123" s="244">
        <f t="shared" ref="F123:P123" si="16">SUM(F119:F122)</f>
        <v>15.09</v>
      </c>
      <c r="G123" s="244">
        <f t="shared" si="16"/>
        <v>90.712000000000003</v>
      </c>
      <c r="H123" s="244">
        <f t="shared" si="16"/>
        <v>562.73800000000006</v>
      </c>
      <c r="I123" s="244">
        <f t="shared" si="16"/>
        <v>0.13519999999999999</v>
      </c>
      <c r="J123" s="244">
        <f t="shared" si="16"/>
        <v>15.1092</v>
      </c>
      <c r="K123" s="244">
        <f t="shared" si="16"/>
        <v>0.153</v>
      </c>
      <c r="L123" s="244">
        <f t="shared" si="16"/>
        <v>3.0709999999999997</v>
      </c>
      <c r="M123" s="244">
        <f t="shared" si="16"/>
        <v>256.76600000000002</v>
      </c>
      <c r="N123" s="244">
        <f t="shared" si="16"/>
        <v>206.34800000000001</v>
      </c>
      <c r="O123" s="244">
        <f t="shared" si="16"/>
        <v>36.981999999999999</v>
      </c>
      <c r="P123" s="244">
        <f t="shared" si="16"/>
        <v>5.0960000000000001</v>
      </c>
    </row>
    <row r="124" spans="1:16" ht="12.6" customHeight="1">
      <c r="A124" s="40">
        <v>5</v>
      </c>
      <c r="B124" s="255" t="s">
        <v>19</v>
      </c>
      <c r="C124" s="255"/>
      <c r="D124" s="255"/>
      <c r="E124" s="255"/>
      <c r="F124" s="255"/>
      <c r="G124" s="255"/>
      <c r="H124" s="255"/>
      <c r="I124" s="255"/>
      <c r="J124" s="255"/>
      <c r="K124" s="255"/>
      <c r="L124" s="255"/>
      <c r="M124" s="255"/>
      <c r="N124" s="255"/>
      <c r="O124" s="255"/>
      <c r="P124" s="255"/>
    </row>
    <row r="125" spans="1:16" ht="18" customHeight="1">
      <c r="A125" s="40">
        <v>5</v>
      </c>
      <c r="B125" s="50" t="s">
        <v>176</v>
      </c>
      <c r="C125" s="55" t="s">
        <v>177</v>
      </c>
      <c r="D125" s="50">
        <v>100</v>
      </c>
      <c r="E125" s="41">
        <v>5.1520000000000001</v>
      </c>
      <c r="F125" s="41">
        <v>4.4719999999999995</v>
      </c>
      <c r="G125" s="41">
        <v>30.28</v>
      </c>
      <c r="H125" s="41">
        <v>181.97600000000003</v>
      </c>
      <c r="I125" s="41">
        <v>0</v>
      </c>
      <c r="J125" s="41">
        <v>0.28000000000000003</v>
      </c>
      <c r="K125" s="41">
        <v>0</v>
      </c>
      <c r="L125" s="41">
        <v>2.7440000000000002</v>
      </c>
      <c r="M125" s="41">
        <v>67.455999999999989</v>
      </c>
      <c r="N125" s="41">
        <v>61.776000000000003</v>
      </c>
      <c r="O125" s="41">
        <v>238.2</v>
      </c>
      <c r="P125" s="41">
        <v>3.12</v>
      </c>
    </row>
    <row r="126" spans="1:16" ht="18" customHeight="1">
      <c r="A126" s="40">
        <v>5</v>
      </c>
      <c r="B126" s="170" t="s">
        <v>237</v>
      </c>
      <c r="C126" s="55" t="s">
        <v>235</v>
      </c>
      <c r="D126" s="50" t="s">
        <v>183</v>
      </c>
      <c r="E126" s="41">
        <v>1.7572115384615383</v>
      </c>
      <c r="F126" s="41">
        <v>4.875</v>
      </c>
      <c r="G126" s="41">
        <v>10.545673076923077</v>
      </c>
      <c r="H126" s="41">
        <v>93.086538461538453</v>
      </c>
      <c r="I126" s="41">
        <v>4.807692307692308E-4</v>
      </c>
      <c r="J126" s="41">
        <v>4.807692307692308E-3</v>
      </c>
      <c r="K126" s="41">
        <v>11.298076923076923</v>
      </c>
      <c r="L126" s="41">
        <v>2.4086538461538458</v>
      </c>
      <c r="M126" s="41">
        <v>48.701923076923073</v>
      </c>
      <c r="N126" s="41">
        <v>25.81730769230769</v>
      </c>
      <c r="O126" s="41">
        <v>52.5</v>
      </c>
      <c r="P126" s="41">
        <v>1.2019230769230769</v>
      </c>
    </row>
    <row r="127" spans="1:16" ht="18" customHeight="1">
      <c r="B127" s="244" t="s">
        <v>307</v>
      </c>
      <c r="C127" s="55" t="s">
        <v>308</v>
      </c>
      <c r="D127" s="126">
        <v>100</v>
      </c>
      <c r="E127" s="41">
        <v>12.8</v>
      </c>
      <c r="F127" s="41">
        <v>11</v>
      </c>
      <c r="G127" s="41">
        <v>11.6</v>
      </c>
      <c r="H127" s="41">
        <v>141.69999999999999</v>
      </c>
      <c r="I127" s="41">
        <v>0.02</v>
      </c>
      <c r="J127" s="41">
        <v>0.04</v>
      </c>
      <c r="K127" s="41">
        <v>0.8</v>
      </c>
      <c r="L127" s="41">
        <v>0</v>
      </c>
      <c r="M127" s="41">
        <v>16.8</v>
      </c>
      <c r="N127" s="41">
        <v>19</v>
      </c>
      <c r="O127" s="41">
        <v>111.8</v>
      </c>
      <c r="P127" s="41">
        <v>1.4</v>
      </c>
    </row>
    <row r="128" spans="1:16" ht="18" customHeight="1">
      <c r="A128" s="40">
        <v>5</v>
      </c>
      <c r="B128" s="244" t="s">
        <v>260</v>
      </c>
      <c r="C128" s="55" t="s">
        <v>258</v>
      </c>
      <c r="D128" s="245">
        <v>180</v>
      </c>
      <c r="E128" s="41">
        <v>3.222</v>
      </c>
      <c r="F128" s="41">
        <v>9.5939999999999994</v>
      </c>
      <c r="G128" s="41">
        <v>19.008000000000003</v>
      </c>
      <c r="H128" s="41">
        <v>175.26600000000002</v>
      </c>
      <c r="I128" s="41">
        <v>0.18</v>
      </c>
      <c r="J128" s="41">
        <v>41.85</v>
      </c>
      <c r="K128" s="41">
        <v>0</v>
      </c>
      <c r="L128" s="41">
        <v>8.0640000000000001</v>
      </c>
      <c r="M128" s="41">
        <v>43.92</v>
      </c>
      <c r="N128" s="41">
        <v>94.716000000000008</v>
      </c>
      <c r="O128" s="41">
        <v>41.238</v>
      </c>
      <c r="P128" s="41">
        <v>1.548</v>
      </c>
    </row>
    <row r="129" spans="1:16" ht="18" customHeight="1">
      <c r="B129" s="170" t="s">
        <v>149</v>
      </c>
      <c r="C129" s="55" t="s">
        <v>55</v>
      </c>
      <c r="D129" s="50">
        <v>200</v>
      </c>
      <c r="E129" s="41">
        <v>0.28000000000000003</v>
      </c>
      <c r="F129" s="41">
        <v>0.1</v>
      </c>
      <c r="G129" s="41">
        <v>28.88</v>
      </c>
      <c r="H129" s="41">
        <v>117.54</v>
      </c>
      <c r="I129" s="41">
        <v>0</v>
      </c>
      <c r="J129" s="41">
        <v>19.3</v>
      </c>
      <c r="K129" s="41">
        <v>0</v>
      </c>
      <c r="L129" s="41">
        <v>0.16</v>
      </c>
      <c r="M129" s="41">
        <v>13.66</v>
      </c>
      <c r="N129" s="41">
        <v>7.38</v>
      </c>
      <c r="O129" s="41">
        <v>5.78</v>
      </c>
      <c r="P129" s="41">
        <v>0.46800000000000003</v>
      </c>
    </row>
    <row r="130" spans="1:16" ht="18" customHeight="1">
      <c r="B130" s="170" t="s">
        <v>57</v>
      </c>
      <c r="C130" s="55" t="s">
        <v>20</v>
      </c>
      <c r="D130" s="50">
        <v>40</v>
      </c>
      <c r="E130" s="41">
        <v>3.0666666666666664</v>
      </c>
      <c r="F130" s="41">
        <v>0.26666666666666672</v>
      </c>
      <c r="G130" s="41">
        <v>19.733333333333334</v>
      </c>
      <c r="H130" s="41">
        <v>93.6</v>
      </c>
      <c r="I130" s="41">
        <v>0</v>
      </c>
      <c r="J130" s="41">
        <v>0</v>
      </c>
      <c r="K130" s="41">
        <v>0</v>
      </c>
      <c r="L130" s="41">
        <v>0.4</v>
      </c>
      <c r="M130" s="41">
        <v>8</v>
      </c>
      <c r="N130" s="41">
        <v>26</v>
      </c>
      <c r="O130" s="41">
        <v>5.6000000000000014</v>
      </c>
      <c r="P130" s="41">
        <v>0.4</v>
      </c>
    </row>
    <row r="131" spans="1:16" ht="18" customHeight="1">
      <c r="B131" s="170" t="s">
        <v>150</v>
      </c>
      <c r="C131" s="55" t="s">
        <v>21</v>
      </c>
      <c r="D131" s="50">
        <v>50</v>
      </c>
      <c r="E131" s="41">
        <v>3.25</v>
      </c>
      <c r="F131" s="41">
        <v>0.625</v>
      </c>
      <c r="G131" s="41">
        <v>19.75</v>
      </c>
      <c r="H131" s="41">
        <v>97.625</v>
      </c>
      <c r="I131" s="41">
        <v>0.125</v>
      </c>
      <c r="J131" s="41">
        <v>0</v>
      </c>
      <c r="K131" s="41">
        <v>0</v>
      </c>
      <c r="L131" s="41">
        <v>0.75</v>
      </c>
      <c r="M131" s="41">
        <v>14.499999999999998</v>
      </c>
      <c r="N131" s="41">
        <v>75</v>
      </c>
      <c r="O131" s="41">
        <v>23.5</v>
      </c>
      <c r="P131" s="41">
        <v>2</v>
      </c>
    </row>
    <row r="132" spans="1:16" ht="13.15" customHeight="1">
      <c r="A132" s="40">
        <v>5</v>
      </c>
      <c r="B132" s="170"/>
      <c r="C132" s="170" t="s">
        <v>18</v>
      </c>
      <c r="D132" s="50"/>
      <c r="E132" s="214">
        <f>SUM(E125:E131)</f>
        <v>29.527878205128207</v>
      </c>
      <c r="F132" s="244">
        <f t="shared" ref="F132:P132" si="17">SUM(F125:F131)</f>
        <v>30.93266666666667</v>
      </c>
      <c r="G132" s="244">
        <f t="shared" si="17"/>
        <v>139.79700641025642</v>
      </c>
      <c r="H132" s="244">
        <f t="shared" si="17"/>
        <v>900.79353846153845</v>
      </c>
      <c r="I132" s="244">
        <f t="shared" si="17"/>
        <v>0.32548076923076924</v>
      </c>
      <c r="J132" s="244">
        <f t="shared" si="17"/>
        <v>61.474807692307692</v>
      </c>
      <c r="K132" s="244">
        <f t="shared" si="17"/>
        <v>12.098076923076924</v>
      </c>
      <c r="L132" s="244">
        <f t="shared" si="17"/>
        <v>14.526653846153847</v>
      </c>
      <c r="M132" s="244">
        <f t="shared" si="17"/>
        <v>213.03792307692308</v>
      </c>
      <c r="N132" s="244">
        <f t="shared" si="17"/>
        <v>309.68930769230769</v>
      </c>
      <c r="O132" s="244">
        <f t="shared" si="17"/>
        <v>478.61799999999999</v>
      </c>
      <c r="P132" s="244">
        <f t="shared" si="17"/>
        <v>10.137923076923077</v>
      </c>
    </row>
    <row r="133" spans="1:16" ht="13.9" customHeight="1">
      <c r="A133" s="40">
        <v>5</v>
      </c>
      <c r="B133" s="255" t="s">
        <v>22</v>
      </c>
      <c r="C133" s="255"/>
      <c r="D133" s="255"/>
      <c r="E133" s="255"/>
      <c r="F133" s="255"/>
      <c r="G133" s="255"/>
      <c r="H133" s="255"/>
      <c r="I133" s="255"/>
      <c r="J133" s="255"/>
      <c r="K133" s="255"/>
      <c r="L133" s="255"/>
      <c r="M133" s="255"/>
      <c r="N133" s="255"/>
      <c r="O133" s="255"/>
      <c r="P133" s="255"/>
    </row>
    <row r="134" spans="1:16" ht="30" customHeight="1">
      <c r="A134" s="40">
        <v>5</v>
      </c>
      <c r="B134" s="170" t="s">
        <v>155</v>
      </c>
      <c r="C134" s="55" t="s">
        <v>238</v>
      </c>
      <c r="D134" s="50" t="s">
        <v>302</v>
      </c>
      <c r="E134" s="41">
        <v>9.8214285714285712</v>
      </c>
      <c r="F134" s="41">
        <v>9.4428571428571413</v>
      </c>
      <c r="G134" s="41">
        <v>27.45</v>
      </c>
      <c r="H134" s="41">
        <v>286.78571428571428</v>
      </c>
      <c r="I134" s="41">
        <v>0.21857142857142858</v>
      </c>
      <c r="J134" s="41">
        <v>7.1428571428571425E-2</v>
      </c>
      <c r="K134" s="41">
        <v>2.8571428571428567E-2</v>
      </c>
      <c r="L134" s="41">
        <v>3.4285714285714284</v>
      </c>
      <c r="M134" s="41">
        <v>55.5</v>
      </c>
      <c r="N134" s="41">
        <v>63.5</v>
      </c>
      <c r="O134" s="41">
        <v>181</v>
      </c>
      <c r="P134" s="41">
        <v>1.8714285714285714</v>
      </c>
    </row>
    <row r="135" spans="1:16" ht="20.25" customHeight="1">
      <c r="B135" s="233" t="s">
        <v>284</v>
      </c>
      <c r="C135" s="55" t="s">
        <v>285</v>
      </c>
      <c r="D135" s="235">
        <v>100</v>
      </c>
      <c r="E135" s="41">
        <v>1</v>
      </c>
      <c r="F135" s="41">
        <v>6.8</v>
      </c>
      <c r="G135" s="41">
        <v>7.9</v>
      </c>
      <c r="H135" s="41">
        <v>96.799999999999983</v>
      </c>
      <c r="I135" s="41">
        <v>0</v>
      </c>
      <c r="J135" s="41">
        <v>9.6</v>
      </c>
      <c r="K135" s="41">
        <v>0</v>
      </c>
      <c r="L135" s="41">
        <v>3.3</v>
      </c>
      <c r="M135" s="41">
        <v>43.9</v>
      </c>
      <c r="N135" s="41">
        <v>41.4</v>
      </c>
      <c r="O135" s="41">
        <v>28</v>
      </c>
      <c r="P135" s="41">
        <v>1.4</v>
      </c>
    </row>
    <row r="136" spans="1:16" ht="15.6" customHeight="1">
      <c r="A136" s="40">
        <v>5</v>
      </c>
      <c r="B136" s="170" t="s">
        <v>151</v>
      </c>
      <c r="C136" s="55" t="s">
        <v>49</v>
      </c>
      <c r="D136" s="50">
        <v>200</v>
      </c>
      <c r="E136" s="41">
        <v>0.16</v>
      </c>
      <c r="F136" s="41">
        <v>0.16</v>
      </c>
      <c r="G136" s="41">
        <v>19.88</v>
      </c>
      <c r="H136" s="41">
        <v>81.599999999999994</v>
      </c>
      <c r="I136" s="41">
        <v>0.02</v>
      </c>
      <c r="J136" s="41">
        <v>0.9</v>
      </c>
      <c r="K136" s="41">
        <v>0</v>
      </c>
      <c r="L136" s="41">
        <v>0.08</v>
      </c>
      <c r="M136" s="41">
        <v>13.94</v>
      </c>
      <c r="N136" s="41">
        <v>4.4000000000000004</v>
      </c>
      <c r="O136" s="41">
        <v>5.14</v>
      </c>
      <c r="P136" s="41">
        <v>0.93600000000000005</v>
      </c>
    </row>
    <row r="137" spans="1:16" ht="13.9" customHeight="1">
      <c r="A137" s="40">
        <v>5</v>
      </c>
      <c r="B137" s="170"/>
      <c r="C137" s="170" t="s">
        <v>18</v>
      </c>
      <c r="D137" s="50"/>
      <c r="E137" s="170">
        <f>SUM(E134:E136)</f>
        <v>10.981428571428571</v>
      </c>
      <c r="F137" s="244">
        <f t="shared" ref="F137:P137" si="18">SUM(F134:F136)</f>
        <v>16.40285714285714</v>
      </c>
      <c r="G137" s="244">
        <f t="shared" si="18"/>
        <v>55.230000000000004</v>
      </c>
      <c r="H137" s="244">
        <f t="shared" si="18"/>
        <v>465.18571428571431</v>
      </c>
      <c r="I137" s="244">
        <f t="shared" si="18"/>
        <v>0.23857142857142857</v>
      </c>
      <c r="J137" s="244">
        <f t="shared" si="18"/>
        <v>10.571428571428571</v>
      </c>
      <c r="K137" s="244">
        <f t="shared" si="18"/>
        <v>2.8571428571428567E-2</v>
      </c>
      <c r="L137" s="244">
        <f t="shared" si="18"/>
        <v>6.8085714285714278</v>
      </c>
      <c r="M137" s="244">
        <f t="shared" si="18"/>
        <v>113.34</v>
      </c>
      <c r="N137" s="244">
        <f t="shared" si="18"/>
        <v>109.30000000000001</v>
      </c>
      <c r="O137" s="244">
        <f t="shared" si="18"/>
        <v>214.14</v>
      </c>
      <c r="P137" s="244">
        <f t="shared" si="18"/>
        <v>4.2074285714285713</v>
      </c>
    </row>
    <row r="138" spans="1:16" ht="14.45" customHeight="1">
      <c r="A138" s="40">
        <v>5</v>
      </c>
      <c r="B138" s="170"/>
      <c r="C138" s="170" t="s">
        <v>29</v>
      </c>
      <c r="D138" s="50"/>
      <c r="E138" s="170">
        <f>SUM(E123+E132+E137)</f>
        <v>56.52930677655678</v>
      </c>
      <c r="F138" s="244">
        <f t="shared" ref="F138:P138" si="19">SUM(F123+F132+F137)</f>
        <v>62.42552380952381</v>
      </c>
      <c r="G138" s="244">
        <f t="shared" si="19"/>
        <v>285.73900641025642</v>
      </c>
      <c r="H138" s="244">
        <f t="shared" si="19"/>
        <v>1928.7172527472528</v>
      </c>
      <c r="I138" s="244">
        <f t="shared" si="19"/>
        <v>0.69925219780219783</v>
      </c>
      <c r="J138" s="244">
        <f t="shared" si="19"/>
        <v>87.155436263736263</v>
      </c>
      <c r="K138" s="244">
        <f t="shared" si="19"/>
        <v>12.279648351648353</v>
      </c>
      <c r="L138" s="244">
        <f t="shared" si="19"/>
        <v>24.406225274725273</v>
      </c>
      <c r="M138" s="244">
        <f t="shared" si="19"/>
        <v>583.1439230769231</v>
      </c>
      <c r="N138" s="244">
        <f t="shared" si="19"/>
        <v>625.3373076923076</v>
      </c>
      <c r="O138" s="244">
        <f t="shared" si="19"/>
        <v>729.74</v>
      </c>
      <c r="P138" s="244">
        <f t="shared" si="19"/>
        <v>19.441351648351649</v>
      </c>
    </row>
    <row r="139" spans="1:16" s="36" customFormat="1" ht="20.100000000000001" customHeight="1">
      <c r="B139" s="42"/>
      <c r="C139" s="42"/>
      <c r="D139" s="236"/>
      <c r="E139" s="43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</row>
    <row r="140" spans="1:16" s="36" customFormat="1" ht="20.100000000000001" customHeight="1">
      <c r="B140" s="206" t="s">
        <v>141</v>
      </c>
      <c r="C140" s="38"/>
      <c r="D140" s="236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</row>
    <row r="141" spans="1:16" s="36" customFormat="1" ht="20.100000000000001" customHeight="1">
      <c r="B141" s="206" t="s">
        <v>142</v>
      </c>
      <c r="C141" s="38"/>
      <c r="D141" s="236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</row>
    <row r="142" spans="1:16" s="36" customFormat="1" ht="20.100000000000001" customHeight="1">
      <c r="B142" s="206" t="s">
        <v>196</v>
      </c>
      <c r="C142" s="38"/>
      <c r="D142" s="236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</row>
    <row r="143" spans="1:16" s="36" customFormat="1" ht="20.100000000000001" hidden="1" customHeight="1">
      <c r="B143" s="42"/>
      <c r="C143" s="42"/>
      <c r="D143" s="236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</row>
    <row r="144" spans="1:16" s="36" customFormat="1" ht="35.25" customHeight="1">
      <c r="B144" s="256" t="s">
        <v>0</v>
      </c>
      <c r="C144" s="256" t="s">
        <v>1</v>
      </c>
      <c r="D144" s="257" t="s">
        <v>2</v>
      </c>
      <c r="E144" s="255" t="s">
        <v>3</v>
      </c>
      <c r="F144" s="255"/>
      <c r="G144" s="255"/>
      <c r="H144" s="255" t="s">
        <v>4</v>
      </c>
      <c r="I144" s="255" t="s">
        <v>5</v>
      </c>
      <c r="J144" s="255"/>
      <c r="K144" s="255"/>
      <c r="L144" s="255"/>
      <c r="M144" s="255" t="s">
        <v>6</v>
      </c>
      <c r="N144" s="255"/>
      <c r="O144" s="255"/>
      <c r="P144" s="255"/>
    </row>
    <row r="145" spans="1:16" s="36" customFormat="1" ht="27.6" customHeight="1">
      <c r="B145" s="256"/>
      <c r="C145" s="256"/>
      <c r="D145" s="257"/>
      <c r="E145" s="125" t="s">
        <v>7</v>
      </c>
      <c r="F145" s="125" t="s">
        <v>8</v>
      </c>
      <c r="G145" s="125" t="s">
        <v>9</v>
      </c>
      <c r="H145" s="255"/>
      <c r="I145" s="125" t="s">
        <v>136</v>
      </c>
      <c r="J145" s="125" t="s">
        <v>10</v>
      </c>
      <c r="K145" s="125" t="s">
        <v>11</v>
      </c>
      <c r="L145" s="125" t="s">
        <v>12</v>
      </c>
      <c r="M145" s="125" t="s">
        <v>13</v>
      </c>
      <c r="N145" s="125" t="s">
        <v>14</v>
      </c>
      <c r="O145" s="125" t="s">
        <v>15</v>
      </c>
      <c r="P145" s="125" t="s">
        <v>16</v>
      </c>
    </row>
    <row r="146" spans="1:16" ht="15" customHeight="1">
      <c r="A146" s="40">
        <v>6</v>
      </c>
      <c r="B146" s="255" t="s">
        <v>17</v>
      </c>
      <c r="C146" s="255"/>
      <c r="D146" s="255"/>
      <c r="E146" s="255"/>
      <c r="F146" s="255"/>
      <c r="G146" s="255"/>
      <c r="H146" s="255"/>
      <c r="I146" s="255"/>
      <c r="J146" s="255"/>
      <c r="K146" s="255"/>
      <c r="L146" s="255"/>
      <c r="M146" s="255"/>
      <c r="N146" s="255"/>
      <c r="O146" s="255"/>
      <c r="P146" s="255"/>
    </row>
    <row r="147" spans="1:16" ht="30.75" customHeight="1">
      <c r="A147" s="40">
        <v>6</v>
      </c>
      <c r="B147" s="50" t="s">
        <v>248</v>
      </c>
      <c r="C147" s="55" t="s">
        <v>249</v>
      </c>
      <c r="D147" s="50">
        <v>200</v>
      </c>
      <c r="E147" s="56">
        <v>15.5</v>
      </c>
      <c r="F147" s="56">
        <v>11.25</v>
      </c>
      <c r="G147" s="56">
        <v>18</v>
      </c>
      <c r="H147" s="56">
        <v>235.25</v>
      </c>
      <c r="I147" s="56">
        <v>0.1</v>
      </c>
      <c r="J147" s="56">
        <v>7.4999999999999997E-2</v>
      </c>
      <c r="K147" s="56">
        <v>2.5000000000000001E-2</v>
      </c>
      <c r="L147" s="56">
        <v>0.375</v>
      </c>
      <c r="M147" s="56">
        <v>163</v>
      </c>
      <c r="N147" s="56">
        <v>137</v>
      </c>
      <c r="O147" s="56">
        <v>26.75</v>
      </c>
      <c r="P147" s="56">
        <v>0.75</v>
      </c>
    </row>
    <row r="148" spans="1:16" ht="19.149999999999999" customHeight="1">
      <c r="B148" s="50" t="s">
        <v>244</v>
      </c>
      <c r="C148" s="55" t="s">
        <v>211</v>
      </c>
      <c r="D148" s="50">
        <v>10</v>
      </c>
      <c r="E148" s="56">
        <v>0.25</v>
      </c>
      <c r="F148" s="56">
        <v>5.3</v>
      </c>
      <c r="G148" s="56">
        <v>1.89</v>
      </c>
      <c r="H148" s="56">
        <v>56.26</v>
      </c>
      <c r="I148" s="56">
        <v>1E-3</v>
      </c>
      <c r="J148" s="56">
        <v>0</v>
      </c>
      <c r="K148" s="56">
        <v>0.04</v>
      </c>
      <c r="L148" s="56">
        <v>0.1</v>
      </c>
      <c r="M148" s="56">
        <v>2.4</v>
      </c>
      <c r="N148" s="56">
        <v>3</v>
      </c>
      <c r="O148" s="56">
        <v>0</v>
      </c>
      <c r="P148" s="56">
        <v>0.02</v>
      </c>
    </row>
    <row r="149" spans="1:16" ht="19.149999999999999" customHeight="1">
      <c r="B149" s="50" t="s">
        <v>98</v>
      </c>
      <c r="C149" s="55" t="s">
        <v>24</v>
      </c>
      <c r="D149" s="50">
        <v>40</v>
      </c>
      <c r="E149" s="56">
        <v>3.2</v>
      </c>
      <c r="F149" s="56">
        <v>0.1</v>
      </c>
      <c r="G149" s="56">
        <v>21.2</v>
      </c>
      <c r="H149" s="56">
        <v>98.5</v>
      </c>
      <c r="I149" s="56">
        <v>0.08</v>
      </c>
      <c r="J149" s="56">
        <v>1.6</v>
      </c>
      <c r="K149" s="56">
        <v>0</v>
      </c>
      <c r="L149" s="56">
        <v>0</v>
      </c>
      <c r="M149" s="56">
        <v>15.2</v>
      </c>
      <c r="N149" s="56">
        <v>52</v>
      </c>
      <c r="O149" s="56">
        <v>10.4</v>
      </c>
      <c r="P149" s="56">
        <v>1</v>
      </c>
    </row>
    <row r="150" spans="1:16" ht="18" customHeight="1">
      <c r="A150" s="40">
        <v>6</v>
      </c>
      <c r="B150" s="50" t="s">
        <v>192</v>
      </c>
      <c r="C150" s="55" t="s">
        <v>26</v>
      </c>
      <c r="D150" s="50" t="s">
        <v>110</v>
      </c>
      <c r="E150" s="56">
        <v>0.08</v>
      </c>
      <c r="F150" s="56">
        <v>0.02</v>
      </c>
      <c r="G150" s="56">
        <v>15</v>
      </c>
      <c r="H150" s="56">
        <v>60.5</v>
      </c>
      <c r="I150" s="56">
        <v>0</v>
      </c>
      <c r="J150" s="56">
        <v>0</v>
      </c>
      <c r="K150" s="56">
        <v>0.04</v>
      </c>
      <c r="L150" s="56">
        <v>0</v>
      </c>
      <c r="M150" s="56">
        <v>11.1</v>
      </c>
      <c r="N150" s="56">
        <v>1.4</v>
      </c>
      <c r="O150" s="56">
        <v>2.8</v>
      </c>
      <c r="P150" s="56">
        <v>0.28000000000000003</v>
      </c>
    </row>
    <row r="151" spans="1:16" ht="13.9" customHeight="1">
      <c r="A151" s="40">
        <v>6</v>
      </c>
      <c r="B151" s="125"/>
      <c r="C151" s="125" t="s">
        <v>18</v>
      </c>
      <c r="D151" s="237"/>
      <c r="E151" s="214">
        <f>SUM(E147:E150)</f>
        <v>19.029999999999998</v>
      </c>
      <c r="F151" s="244">
        <f t="shared" ref="F151:P151" si="20">SUM(F147:F150)</f>
        <v>16.670000000000002</v>
      </c>
      <c r="G151" s="244">
        <f t="shared" si="20"/>
        <v>56.09</v>
      </c>
      <c r="H151" s="244">
        <f t="shared" si="20"/>
        <v>450.51</v>
      </c>
      <c r="I151" s="244">
        <f t="shared" si="20"/>
        <v>0.18099999999999999</v>
      </c>
      <c r="J151" s="244">
        <f t="shared" si="20"/>
        <v>1.675</v>
      </c>
      <c r="K151" s="244">
        <f t="shared" si="20"/>
        <v>0.10500000000000001</v>
      </c>
      <c r="L151" s="244">
        <f t="shared" si="20"/>
        <v>0.47499999999999998</v>
      </c>
      <c r="M151" s="244">
        <f t="shared" si="20"/>
        <v>191.7</v>
      </c>
      <c r="N151" s="244">
        <f t="shared" si="20"/>
        <v>193.4</v>
      </c>
      <c r="O151" s="244">
        <f t="shared" si="20"/>
        <v>39.949999999999996</v>
      </c>
      <c r="P151" s="244">
        <f t="shared" si="20"/>
        <v>2.0499999999999998</v>
      </c>
    </row>
    <row r="152" spans="1:16" ht="16.149999999999999" customHeight="1">
      <c r="A152" s="40">
        <v>6</v>
      </c>
      <c r="B152" s="259" t="s">
        <v>19</v>
      </c>
      <c r="C152" s="255"/>
      <c r="D152" s="255"/>
      <c r="E152" s="255"/>
      <c r="F152" s="255"/>
      <c r="G152" s="255"/>
      <c r="H152" s="255"/>
      <c r="I152" s="255"/>
      <c r="J152" s="255"/>
      <c r="K152" s="255"/>
      <c r="L152" s="255"/>
      <c r="M152" s="255"/>
      <c r="N152" s="255"/>
      <c r="O152" s="255"/>
      <c r="P152" s="255"/>
    </row>
    <row r="153" spans="1:16" ht="16.899999999999999" customHeight="1">
      <c r="A153" s="40">
        <v>6</v>
      </c>
      <c r="B153" s="46" t="s">
        <v>250</v>
      </c>
      <c r="C153" s="47" t="s">
        <v>251</v>
      </c>
      <c r="D153" s="238">
        <v>100</v>
      </c>
      <c r="E153" s="41">
        <v>0.9</v>
      </c>
      <c r="F153" s="41">
        <v>3</v>
      </c>
      <c r="G153" s="41">
        <v>3.6</v>
      </c>
      <c r="H153" s="41">
        <v>45</v>
      </c>
      <c r="I153" s="41">
        <v>0</v>
      </c>
      <c r="J153" s="41">
        <v>8.1999999999999993</v>
      </c>
      <c r="K153" s="41">
        <v>0</v>
      </c>
      <c r="L153" s="41">
        <v>0.3</v>
      </c>
      <c r="M153" s="41">
        <v>19</v>
      </c>
      <c r="N153" s="41">
        <v>33.9</v>
      </c>
      <c r="O153" s="41">
        <v>16</v>
      </c>
      <c r="P153" s="41">
        <v>0.7</v>
      </c>
    </row>
    <row r="154" spans="1:16" ht="30" customHeight="1">
      <c r="B154" s="46" t="s">
        <v>54</v>
      </c>
      <c r="C154" s="47" t="s">
        <v>303</v>
      </c>
      <c r="D154" s="238" t="s">
        <v>184</v>
      </c>
      <c r="E154" s="41">
        <v>5</v>
      </c>
      <c r="F154" s="41">
        <v>7.5</v>
      </c>
      <c r="G154" s="41">
        <v>26.843023255813954</v>
      </c>
      <c r="H154" s="41">
        <v>194.87209302325581</v>
      </c>
      <c r="I154" s="41">
        <v>0.79825581395348844</v>
      </c>
      <c r="J154" s="41">
        <v>5.6976744186046515</v>
      </c>
      <c r="K154" s="41">
        <v>1.7441860465116281</v>
      </c>
      <c r="L154" s="41">
        <v>3.2383720930232562</v>
      </c>
      <c r="M154" s="41">
        <v>45.808139534883729</v>
      </c>
      <c r="N154" s="41">
        <v>175.63953488372096</v>
      </c>
      <c r="O154" s="41">
        <v>53.953488372093027</v>
      </c>
      <c r="P154" s="41">
        <v>3.412790697674418</v>
      </c>
    </row>
    <row r="155" spans="1:16" ht="15.6" customHeight="1">
      <c r="B155" s="46" t="s">
        <v>253</v>
      </c>
      <c r="C155" s="47" t="s">
        <v>252</v>
      </c>
      <c r="D155" s="238" t="s">
        <v>185</v>
      </c>
      <c r="E155" s="41">
        <v>14.4</v>
      </c>
      <c r="F155" s="41">
        <v>19.440000000000001</v>
      </c>
      <c r="G155" s="41">
        <v>23.76</v>
      </c>
      <c r="H155" s="41">
        <v>327.60000000000002</v>
      </c>
      <c r="I155" s="41">
        <v>0</v>
      </c>
      <c r="J155" s="41">
        <v>0.54</v>
      </c>
      <c r="K155" s="41">
        <v>1.62</v>
      </c>
      <c r="L155" s="41">
        <v>3.24</v>
      </c>
      <c r="M155" s="41">
        <v>14.940000000000003</v>
      </c>
      <c r="N155" s="41">
        <v>47.52</v>
      </c>
      <c r="O155" s="41">
        <v>209.52</v>
      </c>
      <c r="P155" s="41">
        <v>2.16</v>
      </c>
    </row>
    <row r="156" spans="1:16" ht="18" customHeight="1">
      <c r="A156" s="40">
        <v>6</v>
      </c>
      <c r="B156" s="46" t="s">
        <v>149</v>
      </c>
      <c r="C156" s="47" t="s">
        <v>55</v>
      </c>
      <c r="D156" s="238">
        <v>200</v>
      </c>
      <c r="E156" s="41">
        <v>0.28000000000000003</v>
      </c>
      <c r="F156" s="41">
        <v>0.1</v>
      </c>
      <c r="G156" s="41">
        <v>28.88</v>
      </c>
      <c r="H156" s="41">
        <v>117.54</v>
      </c>
      <c r="I156" s="41">
        <v>0</v>
      </c>
      <c r="J156" s="41">
        <v>19.3</v>
      </c>
      <c r="K156" s="41">
        <v>0</v>
      </c>
      <c r="L156" s="41">
        <v>0.16</v>
      </c>
      <c r="M156" s="41">
        <v>13.66</v>
      </c>
      <c r="N156" s="41">
        <v>7.38</v>
      </c>
      <c r="O156" s="41">
        <v>5.78</v>
      </c>
      <c r="P156" s="41">
        <v>0.46800000000000003</v>
      </c>
    </row>
    <row r="157" spans="1:16" ht="18" customHeight="1">
      <c r="A157" s="40">
        <v>6</v>
      </c>
      <c r="B157" s="46" t="s">
        <v>57</v>
      </c>
      <c r="C157" s="47" t="s">
        <v>20</v>
      </c>
      <c r="D157" s="238">
        <v>40</v>
      </c>
      <c r="E157" s="41">
        <v>3.0666666666666664</v>
      </c>
      <c r="F157" s="41">
        <v>0.26666666666666672</v>
      </c>
      <c r="G157" s="41">
        <v>19.733333333333334</v>
      </c>
      <c r="H157" s="41">
        <v>93.6</v>
      </c>
      <c r="I157" s="41">
        <v>0</v>
      </c>
      <c r="J157" s="41">
        <v>0</v>
      </c>
      <c r="K157" s="41">
        <v>0</v>
      </c>
      <c r="L157" s="41">
        <v>0.4</v>
      </c>
      <c r="M157" s="41">
        <v>8</v>
      </c>
      <c r="N157" s="41">
        <v>26</v>
      </c>
      <c r="O157" s="41">
        <v>5.6000000000000014</v>
      </c>
      <c r="P157" s="41">
        <v>0.4</v>
      </c>
    </row>
    <row r="158" spans="1:16" ht="18" customHeight="1">
      <c r="A158" s="40">
        <v>6</v>
      </c>
      <c r="B158" s="46" t="s">
        <v>150</v>
      </c>
      <c r="C158" s="47" t="s">
        <v>21</v>
      </c>
      <c r="D158" s="238">
        <v>50</v>
      </c>
      <c r="E158" s="41">
        <v>3.25</v>
      </c>
      <c r="F158" s="41">
        <v>0.625</v>
      </c>
      <c r="G158" s="41">
        <v>19.75</v>
      </c>
      <c r="H158" s="41">
        <v>97.625</v>
      </c>
      <c r="I158" s="41">
        <v>0.125</v>
      </c>
      <c r="J158" s="41">
        <v>0</v>
      </c>
      <c r="K158" s="41">
        <v>0</v>
      </c>
      <c r="L158" s="41">
        <v>0.75</v>
      </c>
      <c r="M158" s="41">
        <v>14.499999999999998</v>
      </c>
      <c r="N158" s="41">
        <v>75</v>
      </c>
      <c r="O158" s="41">
        <v>23.5</v>
      </c>
      <c r="P158" s="41">
        <v>2</v>
      </c>
    </row>
    <row r="159" spans="1:16" ht="18" customHeight="1">
      <c r="B159" s="241"/>
      <c r="C159" s="47" t="s">
        <v>216</v>
      </c>
      <c r="D159" s="238">
        <v>150</v>
      </c>
      <c r="E159" s="41">
        <v>0.6</v>
      </c>
      <c r="F159" s="41">
        <v>0.6</v>
      </c>
      <c r="G159" s="41">
        <v>14.7</v>
      </c>
      <c r="H159" s="41">
        <v>66.600000000000009</v>
      </c>
      <c r="I159" s="41">
        <v>4.4999999999999998E-2</v>
      </c>
      <c r="J159" s="41">
        <v>15</v>
      </c>
      <c r="K159" s="41">
        <v>0</v>
      </c>
      <c r="L159" s="41">
        <v>0.3</v>
      </c>
      <c r="M159" s="41">
        <v>24</v>
      </c>
      <c r="N159" s="41">
        <v>16.5</v>
      </c>
      <c r="O159" s="41">
        <v>13.5</v>
      </c>
      <c r="P159" s="41">
        <v>3.3</v>
      </c>
    </row>
    <row r="160" spans="1:16" ht="18" customHeight="1">
      <c r="A160" s="40">
        <v>6</v>
      </c>
      <c r="B160" s="125"/>
      <c r="C160" s="125" t="s">
        <v>18</v>
      </c>
      <c r="D160" s="50"/>
      <c r="E160" s="125">
        <f>SUM(E153:E159)</f>
        <v>27.49666666666667</v>
      </c>
      <c r="F160" s="244">
        <f t="shared" ref="F160:P160" si="21">SUM(F153:F159)</f>
        <v>31.53166666666667</v>
      </c>
      <c r="G160" s="244">
        <f t="shared" si="21"/>
        <v>137.26635658914728</v>
      </c>
      <c r="H160" s="244">
        <f t="shared" si="21"/>
        <v>942.83709302325587</v>
      </c>
      <c r="I160" s="244">
        <f t="shared" si="21"/>
        <v>0.96825581395348848</v>
      </c>
      <c r="J160" s="244">
        <f t="shared" si="21"/>
        <v>48.737674418604655</v>
      </c>
      <c r="K160" s="244">
        <f t="shared" si="21"/>
        <v>3.3641860465116284</v>
      </c>
      <c r="L160" s="244">
        <f t="shared" si="21"/>
        <v>8.388372093023257</v>
      </c>
      <c r="M160" s="244">
        <f t="shared" si="21"/>
        <v>139.90813953488373</v>
      </c>
      <c r="N160" s="244">
        <f t="shared" si="21"/>
        <v>381.93953488372097</v>
      </c>
      <c r="O160" s="244">
        <f t="shared" si="21"/>
        <v>327.85348837209301</v>
      </c>
      <c r="P160" s="244">
        <f t="shared" si="21"/>
        <v>12.440790697674419</v>
      </c>
    </row>
    <row r="161" spans="1:16" ht="14.45" customHeight="1">
      <c r="A161" s="40">
        <v>6</v>
      </c>
      <c r="B161" s="255" t="s">
        <v>22</v>
      </c>
      <c r="C161" s="255"/>
      <c r="D161" s="255"/>
      <c r="E161" s="255"/>
      <c r="F161" s="255"/>
      <c r="G161" s="255"/>
      <c r="H161" s="255"/>
      <c r="I161" s="255"/>
      <c r="J161" s="255"/>
      <c r="K161" s="255"/>
      <c r="L161" s="255"/>
      <c r="M161" s="255"/>
      <c r="N161" s="255"/>
      <c r="O161" s="255"/>
      <c r="P161" s="255"/>
    </row>
    <row r="162" spans="1:16" ht="14.45" customHeight="1">
      <c r="B162" s="125" t="s">
        <v>225</v>
      </c>
      <c r="C162" s="55" t="s">
        <v>288</v>
      </c>
      <c r="D162" s="238">
        <v>65</v>
      </c>
      <c r="E162" s="56">
        <v>2.6</v>
      </c>
      <c r="F162" s="56">
        <v>3.0550000000000002</v>
      </c>
      <c r="G162" s="56">
        <v>18.07</v>
      </c>
      <c r="H162" s="56">
        <v>110.175</v>
      </c>
      <c r="I162" s="56">
        <v>6.5000000000000002E-2</v>
      </c>
      <c r="J162" s="56">
        <v>6.5000000000000002E-2</v>
      </c>
      <c r="K162" s="56">
        <v>0</v>
      </c>
      <c r="L162" s="56">
        <v>0.84499999999999997</v>
      </c>
      <c r="M162" s="56">
        <v>49.27</v>
      </c>
      <c r="N162" s="56">
        <v>91</v>
      </c>
      <c r="O162" s="56">
        <v>22.49</v>
      </c>
      <c r="P162" s="56">
        <v>0.97499999999999998</v>
      </c>
    </row>
    <row r="163" spans="1:16" ht="14.45" customHeight="1">
      <c r="B163" s="214" t="s">
        <v>284</v>
      </c>
      <c r="C163" s="55" t="s">
        <v>285</v>
      </c>
      <c r="D163" s="238">
        <v>100</v>
      </c>
      <c r="E163" s="56">
        <v>1</v>
      </c>
      <c r="F163" s="56">
        <v>6.8</v>
      </c>
      <c r="G163" s="56">
        <v>7.9</v>
      </c>
      <c r="H163" s="56">
        <v>96.799999999999983</v>
      </c>
      <c r="I163" s="56">
        <v>0</v>
      </c>
      <c r="J163" s="56">
        <v>9.6</v>
      </c>
      <c r="K163" s="56">
        <v>0</v>
      </c>
      <c r="L163" s="56">
        <v>3.3</v>
      </c>
      <c r="M163" s="56">
        <v>43.9</v>
      </c>
      <c r="N163" s="56">
        <v>41.4</v>
      </c>
      <c r="O163" s="56">
        <v>28</v>
      </c>
      <c r="P163" s="56">
        <v>1.4</v>
      </c>
    </row>
    <row r="164" spans="1:16" ht="14.45" customHeight="1">
      <c r="B164" s="125" t="s">
        <v>154</v>
      </c>
      <c r="C164" s="55" t="s">
        <v>56</v>
      </c>
      <c r="D164" s="238">
        <v>150</v>
      </c>
      <c r="E164" s="56">
        <v>0.495</v>
      </c>
      <c r="F164" s="56">
        <v>7.4999999999999997E-2</v>
      </c>
      <c r="G164" s="56">
        <v>21.015000000000001</v>
      </c>
      <c r="H164" s="56">
        <v>86.715000000000003</v>
      </c>
      <c r="I164" s="56">
        <v>1.4999999999999999E-2</v>
      </c>
      <c r="J164" s="56">
        <v>0.51000000000000012</v>
      </c>
      <c r="K164" s="56">
        <v>0</v>
      </c>
      <c r="L164" s="56">
        <v>0.375</v>
      </c>
      <c r="M164" s="56">
        <v>24.27</v>
      </c>
      <c r="N164" s="56">
        <v>17.579999999999998</v>
      </c>
      <c r="O164" s="56">
        <v>13.095000000000001</v>
      </c>
      <c r="P164" s="56">
        <v>0.5159999999999999</v>
      </c>
    </row>
    <row r="165" spans="1:16" ht="18" customHeight="1">
      <c r="A165" s="40">
        <v>6</v>
      </c>
      <c r="B165" s="125"/>
      <c r="C165" s="125" t="s">
        <v>18</v>
      </c>
      <c r="D165" s="50"/>
      <c r="E165" s="125">
        <f>SUM(E162:E164)</f>
        <v>4.0949999999999998</v>
      </c>
      <c r="F165" s="244">
        <f t="shared" ref="F165:P165" si="22">SUM(F162:F164)</f>
        <v>9.93</v>
      </c>
      <c r="G165" s="244">
        <f t="shared" si="22"/>
        <v>46.984999999999999</v>
      </c>
      <c r="H165" s="244">
        <f t="shared" si="22"/>
        <v>293.68999999999994</v>
      </c>
      <c r="I165" s="244">
        <f t="shared" si="22"/>
        <v>0.08</v>
      </c>
      <c r="J165" s="244">
        <f t="shared" si="22"/>
        <v>10.174999999999999</v>
      </c>
      <c r="K165" s="244">
        <f t="shared" si="22"/>
        <v>0</v>
      </c>
      <c r="L165" s="244">
        <f t="shared" si="22"/>
        <v>4.5199999999999996</v>
      </c>
      <c r="M165" s="244">
        <f t="shared" si="22"/>
        <v>117.44</v>
      </c>
      <c r="N165" s="244">
        <f t="shared" si="22"/>
        <v>149.98000000000002</v>
      </c>
      <c r="O165" s="244">
        <f t="shared" si="22"/>
        <v>63.584999999999994</v>
      </c>
      <c r="P165" s="244">
        <f t="shared" si="22"/>
        <v>2.891</v>
      </c>
    </row>
    <row r="166" spans="1:16" ht="18" customHeight="1">
      <c r="A166" s="40">
        <v>6</v>
      </c>
      <c r="B166" s="125"/>
      <c r="C166" s="125" t="s">
        <v>30</v>
      </c>
      <c r="D166" s="50"/>
      <c r="E166" s="125">
        <f>SUM(E151+E160+E165)</f>
        <v>50.62166666666667</v>
      </c>
      <c r="F166" s="244">
        <f t="shared" ref="F166:P166" si="23">SUM(F151+F160+F165)</f>
        <v>58.131666666666668</v>
      </c>
      <c r="G166" s="244">
        <f t="shared" si="23"/>
        <v>240.34135658914727</v>
      </c>
      <c r="H166" s="244">
        <f t="shared" si="23"/>
        <v>1687.0370930232557</v>
      </c>
      <c r="I166" s="244">
        <f t="shared" si="23"/>
        <v>1.2292558139534886</v>
      </c>
      <c r="J166" s="244">
        <f t="shared" si="23"/>
        <v>60.587674418604649</v>
      </c>
      <c r="K166" s="244">
        <f t="shared" si="23"/>
        <v>3.4691860465116284</v>
      </c>
      <c r="L166" s="244">
        <f t="shared" si="23"/>
        <v>13.383372093023256</v>
      </c>
      <c r="M166" s="244">
        <f t="shared" si="23"/>
        <v>449.04813953488372</v>
      </c>
      <c r="N166" s="244">
        <f t="shared" si="23"/>
        <v>725.31953488372096</v>
      </c>
      <c r="O166" s="244">
        <f t="shared" si="23"/>
        <v>431.38848837209298</v>
      </c>
      <c r="P166" s="244">
        <f t="shared" si="23"/>
        <v>17.381790697674418</v>
      </c>
    </row>
    <row r="167" spans="1:16" s="36" customFormat="1" ht="20.100000000000001" customHeight="1">
      <c r="B167" s="42"/>
      <c r="C167" s="42"/>
      <c r="D167" s="236"/>
      <c r="E167" s="43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</row>
    <row r="168" spans="1:16" s="36" customFormat="1" ht="20.100000000000001" customHeight="1">
      <c r="B168" s="206" t="s">
        <v>143</v>
      </c>
      <c r="C168" s="38"/>
      <c r="D168" s="236"/>
      <c r="E168" s="43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3"/>
    </row>
    <row r="169" spans="1:16" s="36" customFormat="1" ht="20.100000000000001" customHeight="1">
      <c r="B169" s="206" t="s">
        <v>142</v>
      </c>
      <c r="C169" s="38"/>
      <c r="D169" s="236"/>
      <c r="E169" s="43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</row>
    <row r="170" spans="1:16" s="36" customFormat="1" ht="20.100000000000001" customHeight="1">
      <c r="B170" s="206" t="s">
        <v>196</v>
      </c>
      <c r="C170" s="38"/>
      <c r="D170" s="236"/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</row>
    <row r="171" spans="1:16" s="36" customFormat="1" ht="36.75" customHeight="1">
      <c r="B171" s="256" t="s">
        <v>0</v>
      </c>
      <c r="C171" s="256" t="s">
        <v>1</v>
      </c>
      <c r="D171" s="257" t="s">
        <v>2</v>
      </c>
      <c r="E171" s="255" t="s">
        <v>3</v>
      </c>
      <c r="F171" s="255"/>
      <c r="G171" s="255"/>
      <c r="H171" s="255" t="s">
        <v>4</v>
      </c>
      <c r="I171" s="255" t="s">
        <v>5</v>
      </c>
      <c r="J171" s="255"/>
      <c r="K171" s="255"/>
      <c r="L171" s="255"/>
      <c r="M171" s="255" t="s">
        <v>6</v>
      </c>
      <c r="N171" s="255"/>
      <c r="O171" s="255"/>
      <c r="P171" s="255"/>
    </row>
    <row r="172" spans="1:16" s="36" customFormat="1" ht="23.45" customHeight="1">
      <c r="B172" s="256"/>
      <c r="C172" s="256"/>
      <c r="D172" s="257"/>
      <c r="E172" s="125" t="s">
        <v>7</v>
      </c>
      <c r="F172" s="125" t="s">
        <v>8</v>
      </c>
      <c r="G172" s="125" t="s">
        <v>9</v>
      </c>
      <c r="H172" s="255"/>
      <c r="I172" s="125" t="s">
        <v>136</v>
      </c>
      <c r="J172" s="125" t="s">
        <v>10</v>
      </c>
      <c r="K172" s="125" t="s">
        <v>11</v>
      </c>
      <c r="L172" s="125" t="s">
        <v>12</v>
      </c>
      <c r="M172" s="125" t="s">
        <v>13</v>
      </c>
      <c r="N172" s="125" t="s">
        <v>14</v>
      </c>
      <c r="O172" s="125" t="s">
        <v>15</v>
      </c>
      <c r="P172" s="125" t="s">
        <v>16</v>
      </c>
    </row>
    <row r="173" spans="1:16" ht="18" customHeight="1">
      <c r="A173" s="40">
        <v>7</v>
      </c>
      <c r="B173" s="255" t="s">
        <v>17</v>
      </c>
      <c r="C173" s="255"/>
      <c r="D173" s="255"/>
      <c r="E173" s="255"/>
      <c r="F173" s="255"/>
      <c r="G173" s="255"/>
      <c r="H173" s="255"/>
      <c r="I173" s="255"/>
      <c r="J173" s="255"/>
      <c r="K173" s="255"/>
      <c r="L173" s="255"/>
      <c r="M173" s="255"/>
      <c r="N173" s="255"/>
      <c r="O173" s="255"/>
      <c r="P173" s="255"/>
    </row>
    <row r="174" spans="1:16" ht="18" customHeight="1">
      <c r="A174" s="40">
        <v>7</v>
      </c>
      <c r="B174" s="125" t="s">
        <v>165</v>
      </c>
      <c r="C174" s="55" t="s">
        <v>108</v>
      </c>
      <c r="D174" s="50" t="s">
        <v>186</v>
      </c>
      <c r="E174" s="45">
        <v>18.396000000000001</v>
      </c>
      <c r="F174" s="45">
        <v>12.831000000000001</v>
      </c>
      <c r="G174" s="45">
        <v>31.668000000000003</v>
      </c>
      <c r="H174" s="45">
        <v>315.73500000000001</v>
      </c>
      <c r="I174" s="45">
        <v>6.3E-2</v>
      </c>
      <c r="J174" s="45">
        <v>1.6170000000000002</v>
      </c>
      <c r="K174" s="45">
        <v>8.4000000000000005E-2</v>
      </c>
      <c r="L174" s="45">
        <v>5.9850000000000003</v>
      </c>
      <c r="M174" s="45">
        <v>157.374</v>
      </c>
      <c r="N174" s="45">
        <v>221.02500000000001</v>
      </c>
      <c r="O174" s="45">
        <v>23.562000000000001</v>
      </c>
      <c r="P174" s="45">
        <v>0.92400000000000004</v>
      </c>
    </row>
    <row r="175" spans="1:16" ht="13.9" customHeight="1">
      <c r="A175" s="40">
        <v>7</v>
      </c>
      <c r="B175" s="125" t="s">
        <v>98</v>
      </c>
      <c r="C175" s="55" t="s">
        <v>24</v>
      </c>
      <c r="D175" s="50">
        <v>40</v>
      </c>
      <c r="E175" s="45">
        <v>3.2</v>
      </c>
      <c r="F175" s="45">
        <v>0.1</v>
      </c>
      <c r="G175" s="45">
        <v>21.2</v>
      </c>
      <c r="H175" s="45">
        <v>98.5</v>
      </c>
      <c r="I175" s="45">
        <v>0.08</v>
      </c>
      <c r="J175" s="45">
        <v>1.6</v>
      </c>
      <c r="K175" s="45">
        <v>0</v>
      </c>
      <c r="L175" s="45">
        <v>0</v>
      </c>
      <c r="M175" s="45">
        <v>15.2</v>
      </c>
      <c r="N175" s="45">
        <v>52</v>
      </c>
      <c r="O175" s="45">
        <v>10.4</v>
      </c>
      <c r="P175" s="45">
        <v>1</v>
      </c>
    </row>
    <row r="176" spans="1:16" ht="14.45" customHeight="1">
      <c r="B176" s="125" t="s">
        <v>218</v>
      </c>
      <c r="C176" s="55" t="s">
        <v>254</v>
      </c>
      <c r="D176" s="50">
        <v>20</v>
      </c>
      <c r="E176" s="45">
        <v>4.6399999999999997</v>
      </c>
      <c r="F176" s="45">
        <v>5.9</v>
      </c>
      <c r="G176" s="45">
        <v>0</v>
      </c>
      <c r="H176" s="45">
        <v>71.66</v>
      </c>
      <c r="I176" s="45">
        <v>0</v>
      </c>
      <c r="J176" s="45">
        <v>0.14000000000000001</v>
      </c>
      <c r="K176" s="45">
        <v>5.2000000000000005E-2</v>
      </c>
      <c r="L176" s="45">
        <v>0.1</v>
      </c>
      <c r="M176" s="45">
        <v>176</v>
      </c>
      <c r="N176" s="45">
        <v>100</v>
      </c>
      <c r="O176" s="45">
        <v>7</v>
      </c>
      <c r="P176" s="45">
        <v>0.2</v>
      </c>
    </row>
    <row r="177" spans="1:16" ht="14.45" customHeight="1">
      <c r="B177" s="125" t="s">
        <v>170</v>
      </c>
      <c r="C177" s="55" t="s">
        <v>255</v>
      </c>
      <c r="D177" s="50">
        <v>30</v>
      </c>
      <c r="E177" s="45">
        <v>5.88</v>
      </c>
      <c r="F177" s="45">
        <v>7.86</v>
      </c>
      <c r="G177" s="45">
        <v>0</v>
      </c>
      <c r="H177" s="45">
        <v>94.26</v>
      </c>
      <c r="I177" s="45">
        <v>0.18600000000000003</v>
      </c>
      <c r="J177" s="45">
        <v>0</v>
      </c>
      <c r="K177" s="45">
        <v>0</v>
      </c>
      <c r="L177" s="45">
        <v>0.12</v>
      </c>
      <c r="M177" s="45">
        <v>6.6</v>
      </c>
      <c r="N177" s="45">
        <v>48</v>
      </c>
      <c r="O177" s="45">
        <v>6.6</v>
      </c>
      <c r="P177" s="45">
        <v>0.54</v>
      </c>
    </row>
    <row r="178" spans="1:16" ht="14.45" customHeight="1">
      <c r="B178" s="125"/>
      <c r="C178" s="55" t="s">
        <v>95</v>
      </c>
      <c r="D178" s="50">
        <v>25</v>
      </c>
      <c r="E178" s="45">
        <v>5.35</v>
      </c>
      <c r="F178" s="45">
        <v>6.9625000000000004</v>
      </c>
      <c r="G178" s="45">
        <v>0</v>
      </c>
      <c r="H178" s="45">
        <v>84.0625</v>
      </c>
      <c r="I178" s="45">
        <v>7.7499999999999999E-2</v>
      </c>
      <c r="J178" s="45">
        <v>8.7499999999999994E-2</v>
      </c>
      <c r="K178" s="45">
        <v>3.2500000000000001E-2</v>
      </c>
      <c r="L178" s="45">
        <v>0.1125</v>
      </c>
      <c r="M178" s="45">
        <v>112.75</v>
      </c>
      <c r="N178" s="45">
        <v>82.5</v>
      </c>
      <c r="O178" s="45">
        <v>7.125</v>
      </c>
      <c r="P178" s="45">
        <v>0.35</v>
      </c>
    </row>
    <row r="179" spans="1:16" ht="14.45" customHeight="1">
      <c r="A179" s="40">
        <v>7</v>
      </c>
      <c r="B179" s="125" t="s">
        <v>163</v>
      </c>
      <c r="C179" s="55" t="s">
        <v>53</v>
      </c>
      <c r="D179" s="50">
        <v>200</v>
      </c>
      <c r="E179" s="45">
        <v>4.08</v>
      </c>
      <c r="F179" s="45">
        <v>3.54</v>
      </c>
      <c r="G179" s="45">
        <v>17.579999999999998</v>
      </c>
      <c r="H179" s="45">
        <v>118.5</v>
      </c>
      <c r="I179" s="45">
        <v>0.06</v>
      </c>
      <c r="J179" s="45">
        <v>1.58</v>
      </c>
      <c r="K179" s="45">
        <v>0.02</v>
      </c>
      <c r="L179" s="45">
        <v>0</v>
      </c>
      <c r="M179" s="45">
        <v>152.22</v>
      </c>
      <c r="N179" s="45">
        <v>124.56</v>
      </c>
      <c r="O179" s="45">
        <v>21.34</v>
      </c>
      <c r="P179" s="45">
        <v>0.48</v>
      </c>
    </row>
    <row r="180" spans="1:16" ht="18" customHeight="1">
      <c r="A180" s="40">
        <v>7</v>
      </c>
      <c r="B180" s="125"/>
      <c r="C180" s="125" t="s">
        <v>18</v>
      </c>
      <c r="D180" s="50"/>
      <c r="E180" s="125">
        <f>SUM(E174+E175+E178+E179)</f>
        <v>31.025999999999996</v>
      </c>
      <c r="F180" s="244">
        <f t="shared" ref="F180:P180" si="24">SUM(F174+F175+F178+F179)</f>
        <v>23.433500000000002</v>
      </c>
      <c r="G180" s="244">
        <f t="shared" si="24"/>
        <v>70.448000000000008</v>
      </c>
      <c r="H180" s="244">
        <f t="shared" si="24"/>
        <v>616.79750000000001</v>
      </c>
      <c r="I180" s="244">
        <f t="shared" si="24"/>
        <v>0.28050000000000003</v>
      </c>
      <c r="J180" s="244">
        <f t="shared" si="24"/>
        <v>4.884500000000001</v>
      </c>
      <c r="K180" s="244">
        <f t="shared" si="24"/>
        <v>0.13650000000000001</v>
      </c>
      <c r="L180" s="244">
        <f t="shared" si="24"/>
        <v>6.0975000000000001</v>
      </c>
      <c r="M180" s="244">
        <f t="shared" si="24"/>
        <v>437.54399999999998</v>
      </c>
      <c r="N180" s="244">
        <f t="shared" si="24"/>
        <v>480.08499999999998</v>
      </c>
      <c r="O180" s="244">
        <f t="shared" si="24"/>
        <v>62.427000000000007</v>
      </c>
      <c r="P180" s="244">
        <f t="shared" si="24"/>
        <v>2.754</v>
      </c>
    </row>
    <row r="181" spans="1:16" ht="18" customHeight="1">
      <c r="A181" s="40">
        <v>7</v>
      </c>
      <c r="B181" s="255" t="s">
        <v>19</v>
      </c>
      <c r="C181" s="255"/>
      <c r="D181" s="255"/>
      <c r="E181" s="255"/>
      <c r="F181" s="255"/>
      <c r="G181" s="255"/>
      <c r="H181" s="255"/>
      <c r="I181" s="255"/>
      <c r="J181" s="255"/>
      <c r="K181" s="255"/>
      <c r="L181" s="255"/>
      <c r="M181" s="255"/>
      <c r="N181" s="255"/>
      <c r="O181" s="255"/>
      <c r="P181" s="255"/>
    </row>
    <row r="182" spans="1:16" ht="18" customHeight="1">
      <c r="A182" s="40">
        <v>7</v>
      </c>
      <c r="B182" s="125" t="s">
        <v>294</v>
      </c>
      <c r="C182" s="55" t="s">
        <v>293</v>
      </c>
      <c r="D182" s="50">
        <v>100</v>
      </c>
      <c r="E182" s="41">
        <v>1.48</v>
      </c>
      <c r="F182" s="41">
        <v>3.1</v>
      </c>
      <c r="G182" s="41">
        <v>8.65</v>
      </c>
      <c r="H182" s="41">
        <v>68.42</v>
      </c>
      <c r="I182" s="41">
        <v>0</v>
      </c>
      <c r="J182" s="41">
        <v>0.02</v>
      </c>
      <c r="K182" s="41">
        <v>9.83</v>
      </c>
      <c r="L182" s="41">
        <v>1.42</v>
      </c>
      <c r="M182" s="41">
        <v>42.53</v>
      </c>
      <c r="N182" s="41">
        <v>22</v>
      </c>
      <c r="O182" s="41">
        <v>43.59</v>
      </c>
      <c r="P182" s="41">
        <v>1.43</v>
      </c>
    </row>
    <row r="183" spans="1:16" ht="14.45" customHeight="1">
      <c r="B183" s="125" t="s">
        <v>256</v>
      </c>
      <c r="C183" s="55" t="s">
        <v>295</v>
      </c>
      <c r="D183" s="50">
        <v>250</v>
      </c>
      <c r="E183" s="41">
        <v>2.75</v>
      </c>
      <c r="F183" s="41">
        <v>2.75</v>
      </c>
      <c r="G183" s="41">
        <v>12</v>
      </c>
      <c r="H183" s="41">
        <v>83.75</v>
      </c>
      <c r="I183" s="41">
        <v>0</v>
      </c>
      <c r="J183" s="41">
        <v>0</v>
      </c>
      <c r="K183" s="41">
        <v>8.25</v>
      </c>
      <c r="L183" s="41">
        <v>1.25</v>
      </c>
      <c r="M183" s="41">
        <v>26.75</v>
      </c>
      <c r="N183" s="41">
        <v>22.75</v>
      </c>
      <c r="O183" s="41">
        <v>56</v>
      </c>
      <c r="P183" s="41">
        <v>1</v>
      </c>
    </row>
    <row r="184" spans="1:16" ht="13.9" customHeight="1">
      <c r="B184" s="125" t="s">
        <v>259</v>
      </c>
      <c r="C184" s="55" t="s">
        <v>257</v>
      </c>
      <c r="D184" s="50">
        <v>100</v>
      </c>
      <c r="E184" s="41">
        <v>13.1</v>
      </c>
      <c r="F184" s="41">
        <v>15.4</v>
      </c>
      <c r="G184" s="41">
        <v>9.6999999999999993</v>
      </c>
      <c r="H184" s="41">
        <v>229.8</v>
      </c>
      <c r="I184" s="41">
        <v>0</v>
      </c>
      <c r="J184" s="41">
        <v>0.1</v>
      </c>
      <c r="K184" s="41">
        <v>0</v>
      </c>
      <c r="L184" s="41">
        <v>3.4</v>
      </c>
      <c r="M184" s="41">
        <v>18.399999999999999</v>
      </c>
      <c r="N184" s="41">
        <v>15.1</v>
      </c>
      <c r="O184" s="41">
        <v>127.6</v>
      </c>
      <c r="P184" s="41">
        <v>1.4</v>
      </c>
    </row>
    <row r="185" spans="1:16" ht="18" customHeight="1">
      <c r="B185" s="244" t="s">
        <v>260</v>
      </c>
      <c r="C185" s="55" t="s">
        <v>258</v>
      </c>
      <c r="D185" s="245">
        <v>180</v>
      </c>
      <c r="E185" s="41">
        <v>3.222</v>
      </c>
      <c r="F185" s="41">
        <v>9.5939999999999994</v>
      </c>
      <c r="G185" s="41">
        <v>19.008000000000003</v>
      </c>
      <c r="H185" s="41">
        <v>175.26600000000002</v>
      </c>
      <c r="I185" s="41">
        <v>0.18</v>
      </c>
      <c r="J185" s="41">
        <v>41.85</v>
      </c>
      <c r="K185" s="41">
        <v>0</v>
      </c>
      <c r="L185" s="41">
        <v>8.0640000000000001</v>
      </c>
      <c r="M185" s="41">
        <v>43.92</v>
      </c>
      <c r="N185" s="41">
        <v>94.716000000000008</v>
      </c>
      <c r="O185" s="41">
        <v>41.238</v>
      </c>
      <c r="P185" s="41">
        <v>1.548</v>
      </c>
    </row>
    <row r="186" spans="1:16" ht="18" customHeight="1">
      <c r="B186" s="125" t="s">
        <v>151</v>
      </c>
      <c r="C186" s="55" t="s">
        <v>49</v>
      </c>
      <c r="D186" s="50">
        <v>200</v>
      </c>
      <c r="E186" s="41">
        <v>0.16</v>
      </c>
      <c r="F186" s="41">
        <v>0.16</v>
      </c>
      <c r="G186" s="41">
        <v>19.88</v>
      </c>
      <c r="H186" s="41">
        <v>81.599999999999994</v>
      </c>
      <c r="I186" s="41">
        <v>0.02</v>
      </c>
      <c r="J186" s="41">
        <v>0.9</v>
      </c>
      <c r="K186" s="41">
        <v>0</v>
      </c>
      <c r="L186" s="41">
        <v>0.08</v>
      </c>
      <c r="M186" s="41">
        <v>13.94</v>
      </c>
      <c r="N186" s="41">
        <v>4.4000000000000004</v>
      </c>
      <c r="O186" s="41">
        <v>5.14</v>
      </c>
      <c r="P186" s="41">
        <v>0.93600000000000005</v>
      </c>
    </row>
    <row r="187" spans="1:16" ht="16.149999999999999" customHeight="1">
      <c r="B187" s="125" t="s">
        <v>57</v>
      </c>
      <c r="C187" s="55" t="s">
        <v>20</v>
      </c>
      <c r="D187" s="50">
        <v>40</v>
      </c>
      <c r="E187" s="41">
        <v>3.0666666666666664</v>
      </c>
      <c r="F187" s="41">
        <v>0.26666666666666672</v>
      </c>
      <c r="G187" s="41">
        <v>19.733333333333334</v>
      </c>
      <c r="H187" s="41">
        <v>93.6</v>
      </c>
      <c r="I187" s="41">
        <v>0</v>
      </c>
      <c r="J187" s="41">
        <v>0</v>
      </c>
      <c r="K187" s="41">
        <v>0</v>
      </c>
      <c r="L187" s="41">
        <v>0.4</v>
      </c>
      <c r="M187" s="41">
        <v>8</v>
      </c>
      <c r="N187" s="41">
        <v>26</v>
      </c>
      <c r="O187" s="41">
        <v>5.6000000000000014</v>
      </c>
      <c r="P187" s="41">
        <v>0.4</v>
      </c>
    </row>
    <row r="188" spans="1:16" ht="13.9" customHeight="1">
      <c r="B188" s="125" t="s">
        <v>150</v>
      </c>
      <c r="C188" s="55" t="s">
        <v>21</v>
      </c>
      <c r="D188" s="50">
        <v>50</v>
      </c>
      <c r="E188" s="41">
        <v>3.25</v>
      </c>
      <c r="F188" s="41">
        <v>0.625</v>
      </c>
      <c r="G188" s="41">
        <v>19.75</v>
      </c>
      <c r="H188" s="41">
        <v>97.625</v>
      </c>
      <c r="I188" s="41">
        <v>0.125</v>
      </c>
      <c r="J188" s="41">
        <v>0</v>
      </c>
      <c r="K188" s="41">
        <v>0</v>
      </c>
      <c r="L188" s="41">
        <v>0.75</v>
      </c>
      <c r="M188" s="41">
        <v>14.499999999999998</v>
      </c>
      <c r="N188" s="41">
        <v>75</v>
      </c>
      <c r="O188" s="41">
        <v>23.5</v>
      </c>
      <c r="P188" s="41">
        <v>2</v>
      </c>
    </row>
    <row r="189" spans="1:16" ht="13.9" customHeight="1">
      <c r="B189" s="50"/>
      <c r="C189" s="55" t="s">
        <v>18</v>
      </c>
      <c r="D189" s="50"/>
      <c r="E189" s="214">
        <f>SUM(E182:E188)</f>
        <v>27.028666666666666</v>
      </c>
      <c r="F189" s="244">
        <f t="shared" ref="F189:P189" si="25">SUM(F182:F188)</f>
        <v>31.895666666666667</v>
      </c>
      <c r="G189" s="244">
        <f t="shared" si="25"/>
        <v>108.72133333333333</v>
      </c>
      <c r="H189" s="244">
        <f t="shared" si="25"/>
        <v>830.06100000000015</v>
      </c>
      <c r="I189" s="244">
        <f t="shared" si="25"/>
        <v>0.32499999999999996</v>
      </c>
      <c r="J189" s="244">
        <f t="shared" si="25"/>
        <v>42.87</v>
      </c>
      <c r="K189" s="244">
        <f t="shared" si="25"/>
        <v>18.079999999999998</v>
      </c>
      <c r="L189" s="244">
        <f t="shared" si="25"/>
        <v>15.364000000000001</v>
      </c>
      <c r="M189" s="244">
        <f t="shared" si="25"/>
        <v>168.04000000000002</v>
      </c>
      <c r="N189" s="244">
        <f t="shared" si="25"/>
        <v>259.96600000000001</v>
      </c>
      <c r="O189" s="244">
        <f t="shared" si="25"/>
        <v>302.66800000000001</v>
      </c>
      <c r="P189" s="244">
        <f t="shared" si="25"/>
        <v>8.7140000000000004</v>
      </c>
    </row>
    <row r="190" spans="1:16" ht="18" customHeight="1">
      <c r="A190" s="40">
        <v>7</v>
      </c>
      <c r="B190" s="255" t="s">
        <v>22</v>
      </c>
      <c r="C190" s="255"/>
      <c r="D190" s="255"/>
      <c r="E190" s="255"/>
      <c r="F190" s="255"/>
      <c r="G190" s="255"/>
      <c r="H190" s="255"/>
      <c r="I190" s="255"/>
      <c r="J190" s="255"/>
      <c r="K190" s="255"/>
      <c r="L190" s="255"/>
      <c r="M190" s="255"/>
      <c r="N190" s="255"/>
      <c r="O190" s="255"/>
      <c r="P190" s="255"/>
    </row>
    <row r="191" spans="1:16" ht="22.9" customHeight="1">
      <c r="A191" s="40">
        <v>7</v>
      </c>
      <c r="B191" s="125" t="s">
        <v>166</v>
      </c>
      <c r="C191" s="55" t="s">
        <v>50</v>
      </c>
      <c r="D191" s="50">
        <v>200</v>
      </c>
      <c r="E191" s="45">
        <v>20.9</v>
      </c>
      <c r="F191" s="45">
        <v>21.9</v>
      </c>
      <c r="G191" s="45">
        <v>4.2</v>
      </c>
      <c r="H191" s="45">
        <v>317.5</v>
      </c>
      <c r="I191" s="45">
        <v>0.08</v>
      </c>
      <c r="J191" s="45">
        <v>0.4</v>
      </c>
      <c r="K191" s="45">
        <v>0.26</v>
      </c>
      <c r="L191" s="45">
        <v>0.5</v>
      </c>
      <c r="M191" s="45">
        <v>144</v>
      </c>
      <c r="N191" s="45">
        <v>269</v>
      </c>
      <c r="O191" s="45">
        <v>22</v>
      </c>
      <c r="P191" s="45">
        <v>2.8</v>
      </c>
    </row>
    <row r="192" spans="1:16" ht="30" customHeight="1">
      <c r="B192" s="125" t="s">
        <v>57</v>
      </c>
      <c r="C192" s="55" t="s">
        <v>20</v>
      </c>
      <c r="D192" s="50">
        <v>40</v>
      </c>
      <c r="E192" s="45">
        <v>3.0666666666666664</v>
      </c>
      <c r="F192" s="45">
        <v>0.26666666666666672</v>
      </c>
      <c r="G192" s="45">
        <v>19.733333333333334</v>
      </c>
      <c r="H192" s="45">
        <v>93.6</v>
      </c>
      <c r="I192" s="45">
        <v>0</v>
      </c>
      <c r="J192" s="45">
        <v>0</v>
      </c>
      <c r="K192" s="45">
        <v>0</v>
      </c>
      <c r="L192" s="45">
        <v>0.4</v>
      </c>
      <c r="M192" s="45">
        <v>8</v>
      </c>
      <c r="N192" s="45">
        <v>26</v>
      </c>
      <c r="O192" s="45">
        <v>5.6000000000000014</v>
      </c>
      <c r="P192" s="45">
        <v>0.4</v>
      </c>
    </row>
    <row r="193" spans="1:16" ht="14.45" customHeight="1">
      <c r="B193" s="125" t="s">
        <v>192</v>
      </c>
      <c r="C193" s="48" t="s">
        <v>26</v>
      </c>
      <c r="D193" s="50" t="s">
        <v>110</v>
      </c>
      <c r="E193" s="45">
        <v>0.08</v>
      </c>
      <c r="F193" s="45">
        <v>0.02</v>
      </c>
      <c r="G193" s="45">
        <v>15</v>
      </c>
      <c r="H193" s="45">
        <v>60.5</v>
      </c>
      <c r="I193" s="45">
        <v>0</v>
      </c>
      <c r="J193" s="45">
        <v>0</v>
      </c>
      <c r="K193" s="45">
        <v>0.04</v>
      </c>
      <c r="L193" s="45">
        <v>0</v>
      </c>
      <c r="M193" s="45">
        <v>11.1</v>
      </c>
      <c r="N193" s="45">
        <v>1.4</v>
      </c>
      <c r="O193" s="45">
        <v>2.8</v>
      </c>
      <c r="P193" s="45">
        <v>0.28000000000000003</v>
      </c>
    </row>
    <row r="194" spans="1:16" ht="14.45" customHeight="1">
      <c r="A194" s="40">
        <v>7</v>
      </c>
      <c r="B194" s="125"/>
      <c r="C194" s="125" t="s">
        <v>18</v>
      </c>
      <c r="D194" s="50"/>
      <c r="E194" s="125">
        <f>SUM(E191:E193)</f>
        <v>24.046666666666663</v>
      </c>
      <c r="F194" s="244">
        <f t="shared" ref="F194:P194" si="26">SUM(F191:F193)</f>
        <v>22.186666666666664</v>
      </c>
      <c r="G194" s="244">
        <f t="shared" si="26"/>
        <v>38.933333333333337</v>
      </c>
      <c r="H194" s="244">
        <f t="shared" si="26"/>
        <v>471.6</v>
      </c>
      <c r="I194" s="244">
        <f t="shared" si="26"/>
        <v>0.08</v>
      </c>
      <c r="J194" s="244">
        <f t="shared" si="26"/>
        <v>0.4</v>
      </c>
      <c r="K194" s="244">
        <f t="shared" si="26"/>
        <v>0.3</v>
      </c>
      <c r="L194" s="244">
        <f t="shared" si="26"/>
        <v>0.9</v>
      </c>
      <c r="M194" s="244">
        <f t="shared" si="26"/>
        <v>163.1</v>
      </c>
      <c r="N194" s="244">
        <f t="shared" si="26"/>
        <v>296.39999999999998</v>
      </c>
      <c r="O194" s="244">
        <f t="shared" si="26"/>
        <v>30.400000000000002</v>
      </c>
      <c r="P194" s="244">
        <f t="shared" si="26"/>
        <v>3.4799999999999995</v>
      </c>
    </row>
    <row r="195" spans="1:16" ht="13.9" customHeight="1">
      <c r="A195" s="40">
        <v>7</v>
      </c>
      <c r="B195" s="125"/>
      <c r="C195" s="125" t="s">
        <v>31</v>
      </c>
      <c r="D195" s="50"/>
      <c r="E195" s="125">
        <f>SUM(E180+E189+E194)</f>
        <v>82.101333333333329</v>
      </c>
      <c r="F195" s="244">
        <f t="shared" ref="F195:P195" si="27">SUM(F180+F189+F194)</f>
        <v>77.515833333333333</v>
      </c>
      <c r="G195" s="244">
        <f t="shared" si="27"/>
        <v>218.10266666666666</v>
      </c>
      <c r="H195" s="244">
        <f t="shared" si="27"/>
        <v>1918.4585000000002</v>
      </c>
      <c r="I195" s="244">
        <f t="shared" si="27"/>
        <v>0.68549999999999989</v>
      </c>
      <c r="J195" s="244">
        <f t="shared" si="27"/>
        <v>48.154499999999999</v>
      </c>
      <c r="K195" s="244">
        <f t="shared" si="27"/>
        <v>18.516500000000001</v>
      </c>
      <c r="L195" s="244">
        <f t="shared" si="27"/>
        <v>22.361499999999999</v>
      </c>
      <c r="M195" s="244">
        <f t="shared" si="27"/>
        <v>768.68400000000008</v>
      </c>
      <c r="N195" s="244">
        <f t="shared" si="27"/>
        <v>1036.451</v>
      </c>
      <c r="O195" s="244">
        <f t="shared" si="27"/>
        <v>395.495</v>
      </c>
      <c r="P195" s="244">
        <f t="shared" si="27"/>
        <v>14.948</v>
      </c>
    </row>
    <row r="196" spans="1:16" s="36" customFormat="1" ht="20.100000000000001" customHeight="1">
      <c r="B196" s="244"/>
      <c r="C196" s="55"/>
      <c r="D196" s="245"/>
      <c r="E196" s="41"/>
      <c r="F196" s="41"/>
      <c r="G196" s="41"/>
      <c r="H196" s="41"/>
      <c r="I196" s="41"/>
      <c r="J196" s="41"/>
      <c r="K196" s="41"/>
      <c r="L196" s="41"/>
      <c r="M196" s="41"/>
      <c r="N196" s="41"/>
      <c r="O196" s="41"/>
      <c r="P196" s="41"/>
    </row>
    <row r="197" spans="1:16" s="36" customFormat="1" ht="20.100000000000001" customHeight="1">
      <c r="B197" s="206" t="s">
        <v>144</v>
      </c>
      <c r="C197" s="38"/>
      <c r="D197" s="236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</row>
    <row r="198" spans="1:16" s="36" customFormat="1" ht="20.100000000000001" customHeight="1">
      <c r="B198" s="206" t="s">
        <v>142</v>
      </c>
      <c r="C198" s="38"/>
      <c r="D198" s="236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</row>
    <row r="199" spans="1:16" s="36" customFormat="1" ht="20.100000000000001" customHeight="1">
      <c r="B199" s="206" t="s">
        <v>196</v>
      </c>
      <c r="C199" s="38"/>
      <c r="D199" s="236"/>
      <c r="E199" s="43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</row>
    <row r="200" spans="1:16" s="36" customFormat="1" ht="20.100000000000001" hidden="1" customHeight="1">
      <c r="B200" s="42"/>
      <c r="C200" s="42"/>
      <c r="D200" s="236"/>
      <c r="E200" s="43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</row>
    <row r="201" spans="1:16" s="36" customFormat="1" ht="36" customHeight="1">
      <c r="B201" s="256" t="s">
        <v>0</v>
      </c>
      <c r="C201" s="256" t="s">
        <v>1</v>
      </c>
      <c r="D201" s="257" t="s">
        <v>2</v>
      </c>
      <c r="E201" s="255" t="s">
        <v>3</v>
      </c>
      <c r="F201" s="255"/>
      <c r="G201" s="255"/>
      <c r="H201" s="255" t="s">
        <v>4</v>
      </c>
      <c r="I201" s="255" t="s">
        <v>5</v>
      </c>
      <c r="J201" s="255"/>
      <c r="K201" s="255"/>
      <c r="L201" s="255"/>
      <c r="M201" s="255" t="s">
        <v>6</v>
      </c>
      <c r="N201" s="255"/>
      <c r="O201" s="255"/>
      <c r="P201" s="255"/>
    </row>
    <row r="202" spans="1:16" s="36" customFormat="1" ht="28.15" customHeight="1">
      <c r="B202" s="256"/>
      <c r="C202" s="256"/>
      <c r="D202" s="257"/>
      <c r="E202" s="125" t="s">
        <v>7</v>
      </c>
      <c r="F202" s="125" t="s">
        <v>8</v>
      </c>
      <c r="G202" s="125" t="s">
        <v>9</v>
      </c>
      <c r="H202" s="255"/>
      <c r="I202" s="125" t="s">
        <v>136</v>
      </c>
      <c r="J202" s="125" t="s">
        <v>10</v>
      </c>
      <c r="K202" s="125" t="s">
        <v>11</v>
      </c>
      <c r="L202" s="125" t="s">
        <v>12</v>
      </c>
      <c r="M202" s="125" t="s">
        <v>13</v>
      </c>
      <c r="N202" s="125" t="s">
        <v>14</v>
      </c>
      <c r="O202" s="125" t="s">
        <v>15</v>
      </c>
      <c r="P202" s="125" t="s">
        <v>16</v>
      </c>
    </row>
    <row r="203" spans="1:16" ht="12.6" customHeight="1">
      <c r="A203" s="40">
        <v>8</v>
      </c>
      <c r="B203" s="255" t="s">
        <v>17</v>
      </c>
      <c r="C203" s="255"/>
      <c r="D203" s="255"/>
      <c r="E203" s="255"/>
      <c r="F203" s="255"/>
      <c r="G203" s="255"/>
      <c r="H203" s="255"/>
      <c r="I203" s="255"/>
      <c r="J203" s="255"/>
      <c r="K203" s="255"/>
      <c r="L203" s="255"/>
      <c r="M203" s="255"/>
      <c r="N203" s="255"/>
      <c r="O203" s="255"/>
      <c r="P203" s="255"/>
    </row>
    <row r="204" spans="1:16" ht="24.75" customHeight="1">
      <c r="B204" s="125" t="s">
        <v>155</v>
      </c>
      <c r="C204" s="55" t="s">
        <v>261</v>
      </c>
      <c r="D204" s="50" t="s">
        <v>179</v>
      </c>
      <c r="E204" s="56">
        <v>12.474</v>
      </c>
      <c r="F204" s="56">
        <v>10.206</v>
      </c>
      <c r="G204" s="56">
        <v>44.94</v>
      </c>
      <c r="H204" s="56">
        <v>321.51</v>
      </c>
      <c r="I204" s="56">
        <v>0.14700000000000002</v>
      </c>
      <c r="J204" s="56">
        <v>2.4359999999999999</v>
      </c>
      <c r="K204" s="56">
        <v>8.4000000000000005E-2</v>
      </c>
      <c r="L204" s="56">
        <v>2.7510000000000003</v>
      </c>
      <c r="M204" s="56">
        <v>100.8</v>
      </c>
      <c r="N204" s="56">
        <v>128.72999999999999</v>
      </c>
      <c r="O204" s="56">
        <v>30.45</v>
      </c>
      <c r="P204" s="56">
        <v>36.854999999999997</v>
      </c>
    </row>
    <row r="205" spans="1:16" ht="18" customHeight="1">
      <c r="A205" s="40">
        <v>8</v>
      </c>
      <c r="B205" s="125"/>
      <c r="C205" s="55" t="s">
        <v>193</v>
      </c>
      <c r="D205" s="50">
        <v>40</v>
      </c>
      <c r="E205" s="56">
        <v>1.32</v>
      </c>
      <c r="F205" s="56">
        <v>1.56</v>
      </c>
      <c r="G205" s="56">
        <v>8.3759999999999994</v>
      </c>
      <c r="H205" s="56">
        <v>52.823999999999998</v>
      </c>
      <c r="I205" s="56">
        <v>8.0000000000000002E-3</v>
      </c>
      <c r="J205" s="56">
        <v>0.02</v>
      </c>
      <c r="K205" s="56">
        <v>2.4E-2</v>
      </c>
      <c r="L205" s="56">
        <v>1.008</v>
      </c>
      <c r="M205" s="56">
        <v>7.3680000000000003</v>
      </c>
      <c r="N205" s="56">
        <v>13.768000000000002</v>
      </c>
      <c r="O205" s="56">
        <v>1.536</v>
      </c>
      <c r="P205" s="56">
        <v>0.16800000000000001</v>
      </c>
    </row>
    <row r="206" spans="1:16" ht="14.45" customHeight="1">
      <c r="A206" s="40">
        <v>8</v>
      </c>
      <c r="B206" s="125" t="s">
        <v>189</v>
      </c>
      <c r="C206" s="55" t="s">
        <v>262</v>
      </c>
      <c r="D206" s="50" t="s">
        <v>290</v>
      </c>
      <c r="E206" s="56">
        <v>0.14000000000000001</v>
      </c>
      <c r="F206" s="56">
        <v>0.02</v>
      </c>
      <c r="G206" s="56">
        <v>15.2</v>
      </c>
      <c r="H206" s="56">
        <v>61.54</v>
      </c>
      <c r="I206" s="56">
        <v>0</v>
      </c>
      <c r="J206" s="56">
        <v>2.84</v>
      </c>
      <c r="K206" s="56">
        <v>0</v>
      </c>
      <c r="L206" s="56">
        <v>0.02</v>
      </c>
      <c r="M206" s="56">
        <v>14.2</v>
      </c>
      <c r="N206" s="56">
        <v>4.4000000000000004</v>
      </c>
      <c r="O206" s="56">
        <v>2.4</v>
      </c>
      <c r="P206" s="56">
        <v>0.36</v>
      </c>
    </row>
    <row r="207" spans="1:16" ht="18" customHeight="1">
      <c r="A207" s="40">
        <v>8</v>
      </c>
      <c r="B207" s="125"/>
      <c r="C207" s="125" t="s">
        <v>18</v>
      </c>
      <c r="D207" s="50"/>
      <c r="E207" s="125">
        <f>SUM(E204:E206)</f>
        <v>13.934000000000001</v>
      </c>
      <c r="F207" s="244">
        <f t="shared" ref="F207:P207" si="28">SUM(F204:F206)</f>
        <v>11.786</v>
      </c>
      <c r="G207" s="244">
        <f t="shared" si="28"/>
        <v>68.515999999999991</v>
      </c>
      <c r="H207" s="244">
        <f t="shared" si="28"/>
        <v>435.87400000000002</v>
      </c>
      <c r="I207" s="244">
        <f t="shared" si="28"/>
        <v>0.15500000000000003</v>
      </c>
      <c r="J207" s="244">
        <f t="shared" si="28"/>
        <v>5.2959999999999994</v>
      </c>
      <c r="K207" s="244">
        <f t="shared" si="28"/>
        <v>0.10800000000000001</v>
      </c>
      <c r="L207" s="244">
        <f t="shared" si="28"/>
        <v>3.7790000000000004</v>
      </c>
      <c r="M207" s="244">
        <f t="shared" si="28"/>
        <v>122.36799999999999</v>
      </c>
      <c r="N207" s="244">
        <f t="shared" si="28"/>
        <v>146.898</v>
      </c>
      <c r="O207" s="244">
        <f t="shared" si="28"/>
        <v>34.386000000000003</v>
      </c>
      <c r="P207" s="244">
        <f t="shared" si="28"/>
        <v>37.382999999999996</v>
      </c>
    </row>
    <row r="208" spans="1:16" ht="13.15" customHeight="1">
      <c r="A208" s="40">
        <v>8</v>
      </c>
      <c r="B208" s="255" t="s">
        <v>19</v>
      </c>
      <c r="C208" s="255"/>
      <c r="D208" s="255"/>
      <c r="E208" s="255"/>
      <c r="F208" s="255"/>
      <c r="G208" s="255"/>
      <c r="H208" s="255"/>
      <c r="I208" s="255"/>
      <c r="J208" s="255"/>
      <c r="K208" s="255"/>
      <c r="L208" s="255"/>
      <c r="M208" s="255"/>
      <c r="N208" s="255"/>
      <c r="O208" s="255"/>
      <c r="P208" s="255"/>
    </row>
    <row r="209" spans="1:16" ht="14.45" customHeight="1">
      <c r="B209" s="125" t="s">
        <v>265</v>
      </c>
      <c r="C209" s="55" t="s">
        <v>263</v>
      </c>
      <c r="D209" s="50">
        <v>100</v>
      </c>
      <c r="E209" s="41">
        <v>0.8</v>
      </c>
      <c r="F209" s="41">
        <v>0.1</v>
      </c>
      <c r="G209" s="41">
        <v>1.7</v>
      </c>
      <c r="H209" s="41">
        <v>10.9</v>
      </c>
      <c r="I209" s="41">
        <v>0.02</v>
      </c>
      <c r="J209" s="41">
        <v>5</v>
      </c>
      <c r="K209" s="41">
        <v>0</v>
      </c>
      <c r="L209" s="41">
        <v>0.1</v>
      </c>
      <c r="M209" s="41">
        <v>23</v>
      </c>
      <c r="N209" s="41">
        <v>24</v>
      </c>
      <c r="O209" s="41">
        <v>14</v>
      </c>
      <c r="P209" s="41">
        <v>0.6</v>
      </c>
    </row>
    <row r="210" spans="1:16" ht="14.45" customHeight="1">
      <c r="B210" s="125" t="s">
        <v>266</v>
      </c>
      <c r="C210" s="55" t="s">
        <v>264</v>
      </c>
      <c r="D210" s="50">
        <v>100</v>
      </c>
      <c r="E210" s="41">
        <v>1.1000000000000001</v>
      </c>
      <c r="F210" s="41">
        <v>0.1</v>
      </c>
      <c r="G210" s="41">
        <v>3.5</v>
      </c>
      <c r="H210" s="41">
        <v>19.3</v>
      </c>
      <c r="I210" s="41">
        <v>0.01</v>
      </c>
      <c r="J210" s="41">
        <v>15</v>
      </c>
      <c r="K210" s="41">
        <v>0</v>
      </c>
      <c r="L210" s="41">
        <v>0.7</v>
      </c>
      <c r="M210" s="41">
        <v>10</v>
      </c>
      <c r="N210" s="41">
        <v>35</v>
      </c>
      <c r="O210" s="41">
        <v>15</v>
      </c>
      <c r="P210" s="41">
        <v>0.8</v>
      </c>
    </row>
    <row r="211" spans="1:16" ht="14.45" customHeight="1">
      <c r="B211" s="125"/>
      <c r="C211" s="55" t="s">
        <v>95</v>
      </c>
      <c r="D211" s="50"/>
      <c r="E211" s="230">
        <v>0.95</v>
      </c>
      <c r="F211" s="230">
        <v>0.1</v>
      </c>
      <c r="G211" s="230">
        <v>2.6</v>
      </c>
      <c r="H211" s="230">
        <v>15.100000000000001</v>
      </c>
      <c r="I211" s="230">
        <v>1.4999999999999999E-2</v>
      </c>
      <c r="J211" s="230">
        <v>10</v>
      </c>
      <c r="K211" s="230">
        <v>0</v>
      </c>
      <c r="L211" s="230">
        <v>0.4</v>
      </c>
      <c r="M211" s="230">
        <v>16.5</v>
      </c>
      <c r="N211" s="230">
        <v>29.5</v>
      </c>
      <c r="O211" s="230">
        <v>14.5</v>
      </c>
      <c r="P211" s="230">
        <v>0.7</v>
      </c>
    </row>
    <row r="212" spans="1:16" ht="31.15" customHeight="1">
      <c r="A212" s="40">
        <v>8</v>
      </c>
      <c r="B212" s="125" t="s">
        <v>159</v>
      </c>
      <c r="C212" s="55" t="s">
        <v>267</v>
      </c>
      <c r="D212" s="50" t="s">
        <v>183</v>
      </c>
      <c r="E212" s="41">
        <v>2.34</v>
      </c>
      <c r="F212" s="41">
        <v>9.3079999999999998</v>
      </c>
      <c r="G212" s="41">
        <v>17.52</v>
      </c>
      <c r="H212" s="41">
        <v>163.21199999999999</v>
      </c>
      <c r="I212" s="41">
        <v>3.0000000000000001E-3</v>
      </c>
      <c r="J212" s="41">
        <v>4.0000000000000008E-2</v>
      </c>
      <c r="K212" s="41">
        <v>17.8</v>
      </c>
      <c r="L212" s="41">
        <v>2.92</v>
      </c>
      <c r="M212" s="41">
        <v>27.6</v>
      </c>
      <c r="N212" s="41">
        <v>33.14</v>
      </c>
      <c r="O212" s="41">
        <v>75.780000000000015</v>
      </c>
      <c r="P212" s="41">
        <v>1.06</v>
      </c>
    </row>
    <row r="213" spans="1:16" ht="15.75" customHeight="1">
      <c r="B213" s="125" t="s">
        <v>207</v>
      </c>
      <c r="C213" s="55" t="s">
        <v>174</v>
      </c>
      <c r="D213" s="50" t="s">
        <v>185</v>
      </c>
      <c r="E213" s="41">
        <v>18.382000000000001</v>
      </c>
      <c r="F213" s="41">
        <v>21.034000000000002</v>
      </c>
      <c r="G213" s="41">
        <v>33.00869565217392</v>
      </c>
      <c r="H213" s="41">
        <v>417.51478260869567</v>
      </c>
      <c r="I213" s="41">
        <v>9.0434782608695669E-2</v>
      </c>
      <c r="J213" s="41">
        <v>0.90434782608695674</v>
      </c>
      <c r="K213" s="41">
        <v>0</v>
      </c>
      <c r="L213" s="41">
        <v>2.5434782608695654</v>
      </c>
      <c r="M213" s="41">
        <v>28.486956521739138</v>
      </c>
      <c r="N213" s="41">
        <v>47.693043478260869</v>
      </c>
      <c r="O213" s="41">
        <v>204.29217391304354</v>
      </c>
      <c r="P213" s="41">
        <v>3.0860869565217395</v>
      </c>
    </row>
    <row r="214" spans="1:16" ht="16.149999999999999" customHeight="1">
      <c r="A214" s="40">
        <v>8</v>
      </c>
      <c r="B214" s="125" t="s">
        <v>149</v>
      </c>
      <c r="C214" s="55" t="s">
        <v>55</v>
      </c>
      <c r="D214" s="50">
        <v>200</v>
      </c>
      <c r="E214" s="41">
        <v>0.28000000000000003</v>
      </c>
      <c r="F214" s="41">
        <v>0.1</v>
      </c>
      <c r="G214" s="41">
        <v>28.88</v>
      </c>
      <c r="H214" s="41">
        <v>117.54</v>
      </c>
      <c r="I214" s="41">
        <v>0</v>
      </c>
      <c r="J214" s="41">
        <v>19.3</v>
      </c>
      <c r="K214" s="41">
        <v>0</v>
      </c>
      <c r="L214" s="41">
        <v>0.16</v>
      </c>
      <c r="M214" s="41">
        <v>13.66</v>
      </c>
      <c r="N214" s="41">
        <v>7.38</v>
      </c>
      <c r="O214" s="41">
        <v>5.78</v>
      </c>
      <c r="P214" s="41">
        <v>0.46800000000000003</v>
      </c>
    </row>
    <row r="215" spans="1:16" ht="16.149999999999999" customHeight="1">
      <c r="B215" s="125" t="s">
        <v>57</v>
      </c>
      <c r="C215" s="55" t="s">
        <v>20</v>
      </c>
      <c r="D215" s="50">
        <v>40</v>
      </c>
      <c r="E215" s="41">
        <v>3.0666666666666664</v>
      </c>
      <c r="F215" s="41">
        <v>0.26666666666666672</v>
      </c>
      <c r="G215" s="41">
        <v>19.733333333333334</v>
      </c>
      <c r="H215" s="41">
        <v>93.6</v>
      </c>
      <c r="I215" s="41">
        <v>0</v>
      </c>
      <c r="J215" s="41">
        <v>0</v>
      </c>
      <c r="K215" s="41">
        <v>0</v>
      </c>
      <c r="L215" s="41">
        <v>0.4</v>
      </c>
      <c r="M215" s="41">
        <v>8</v>
      </c>
      <c r="N215" s="41">
        <v>26</v>
      </c>
      <c r="O215" s="41">
        <v>5.6000000000000014</v>
      </c>
      <c r="P215" s="41">
        <v>0.4</v>
      </c>
    </row>
    <row r="216" spans="1:16" ht="16.149999999999999" customHeight="1">
      <c r="B216" s="125" t="s">
        <v>150</v>
      </c>
      <c r="C216" s="55" t="s">
        <v>21</v>
      </c>
      <c r="D216" s="50">
        <v>50</v>
      </c>
      <c r="E216" s="41">
        <v>3.25</v>
      </c>
      <c r="F216" s="41">
        <v>0.625</v>
      </c>
      <c r="G216" s="41">
        <v>19.75</v>
      </c>
      <c r="H216" s="41">
        <v>97.625</v>
      </c>
      <c r="I216" s="41">
        <v>0.125</v>
      </c>
      <c r="J216" s="41">
        <v>0</v>
      </c>
      <c r="K216" s="41">
        <v>0</v>
      </c>
      <c r="L216" s="41">
        <v>0.75</v>
      </c>
      <c r="M216" s="41">
        <v>14.499999999999998</v>
      </c>
      <c r="N216" s="41">
        <v>75</v>
      </c>
      <c r="O216" s="41">
        <v>23.5</v>
      </c>
      <c r="P216" s="41">
        <v>2</v>
      </c>
    </row>
    <row r="217" spans="1:16" ht="15.6" customHeight="1">
      <c r="A217" s="40">
        <v>8</v>
      </c>
      <c r="B217" s="126"/>
      <c r="C217" s="125" t="s">
        <v>18</v>
      </c>
      <c r="D217" s="237"/>
      <c r="E217" s="125">
        <f>SUM(E211:E216)</f>
        <v>28.268666666666668</v>
      </c>
      <c r="F217" s="244">
        <f t="shared" ref="F217:P217" si="29">SUM(F211:F216)</f>
        <v>31.433666666666667</v>
      </c>
      <c r="G217" s="244">
        <f t="shared" si="29"/>
        <v>121.49202898550725</v>
      </c>
      <c r="H217" s="244">
        <f t="shared" si="29"/>
        <v>904.59178260869567</v>
      </c>
      <c r="I217" s="244">
        <f t="shared" si="29"/>
        <v>0.23343478260869566</v>
      </c>
      <c r="J217" s="244">
        <f t="shared" si="29"/>
        <v>30.244347826086958</v>
      </c>
      <c r="K217" s="244">
        <f t="shared" si="29"/>
        <v>17.8</v>
      </c>
      <c r="L217" s="244">
        <f t="shared" si="29"/>
        <v>7.1734782608695653</v>
      </c>
      <c r="M217" s="244">
        <f t="shared" si="29"/>
        <v>108.74695652173914</v>
      </c>
      <c r="N217" s="244">
        <f t="shared" si="29"/>
        <v>218.71304347826086</v>
      </c>
      <c r="O217" s="244">
        <f t="shared" si="29"/>
        <v>329.45217391304357</v>
      </c>
      <c r="P217" s="244">
        <f t="shared" si="29"/>
        <v>7.71408695652174</v>
      </c>
    </row>
    <row r="218" spans="1:16" ht="13.9" customHeight="1">
      <c r="A218" s="40">
        <v>8</v>
      </c>
      <c r="B218" s="255" t="s">
        <v>22</v>
      </c>
      <c r="C218" s="255"/>
      <c r="D218" s="255"/>
      <c r="E218" s="255"/>
      <c r="F218" s="255"/>
      <c r="G218" s="255"/>
      <c r="H218" s="255"/>
      <c r="I218" s="255"/>
      <c r="J218" s="255"/>
      <c r="K218" s="255"/>
      <c r="L218" s="255"/>
      <c r="M218" s="255"/>
      <c r="N218" s="255"/>
      <c r="O218" s="255"/>
      <c r="P218" s="255"/>
    </row>
    <row r="219" spans="1:16" ht="31.5" customHeight="1">
      <c r="A219" s="40">
        <v>8</v>
      </c>
      <c r="B219" s="125" t="s">
        <v>155</v>
      </c>
      <c r="C219" s="55" t="s">
        <v>296</v>
      </c>
      <c r="D219" s="50" t="s">
        <v>304</v>
      </c>
      <c r="E219" s="41">
        <v>11.231999999999998</v>
      </c>
      <c r="F219" s="41">
        <v>10</v>
      </c>
      <c r="G219" s="41">
        <v>68.304000000000002</v>
      </c>
      <c r="H219" s="41">
        <v>408.08</v>
      </c>
      <c r="I219" s="41">
        <v>0.22400000000000003</v>
      </c>
      <c r="J219" s="41">
        <v>0.59200000000000008</v>
      </c>
      <c r="K219" s="41">
        <v>3.2000000000000001E-2</v>
      </c>
      <c r="L219" s="41">
        <v>4.7679999999999998</v>
      </c>
      <c r="M219" s="41">
        <v>125.792</v>
      </c>
      <c r="N219" s="41">
        <v>175.50400000000002</v>
      </c>
      <c r="O219" s="41">
        <v>48.495999999999995</v>
      </c>
      <c r="P219" s="41">
        <v>2.0960000000000001</v>
      </c>
    </row>
    <row r="220" spans="1:16" ht="18" customHeight="1">
      <c r="B220" s="125" t="s">
        <v>153</v>
      </c>
      <c r="C220" s="55" t="s">
        <v>52</v>
      </c>
      <c r="D220" s="50">
        <v>200</v>
      </c>
      <c r="E220" s="41">
        <v>0.57999999999999996</v>
      </c>
      <c r="F220" s="41">
        <v>0.06</v>
      </c>
      <c r="G220" s="41">
        <v>30.2</v>
      </c>
      <c r="H220" s="41">
        <v>123.66</v>
      </c>
      <c r="I220" s="41">
        <v>0</v>
      </c>
      <c r="J220" s="41">
        <v>1.1000000000000001</v>
      </c>
      <c r="K220" s="41">
        <v>0</v>
      </c>
      <c r="L220" s="41">
        <v>0.18</v>
      </c>
      <c r="M220" s="41">
        <v>15.7</v>
      </c>
      <c r="N220" s="41">
        <v>16.32</v>
      </c>
      <c r="O220" s="41">
        <v>3.36</v>
      </c>
      <c r="P220" s="41">
        <v>0.38</v>
      </c>
    </row>
    <row r="221" spans="1:16" ht="18.75" customHeight="1">
      <c r="A221" s="40">
        <v>8</v>
      </c>
      <c r="B221" s="125"/>
      <c r="C221" s="55" t="s">
        <v>18</v>
      </c>
      <c r="D221" s="50"/>
      <c r="E221" s="125">
        <f>SUM(E219:E220)</f>
        <v>11.811999999999998</v>
      </c>
      <c r="F221" s="244">
        <f t="shared" ref="F221:P221" si="30">SUM(F219:F220)</f>
        <v>10.06</v>
      </c>
      <c r="G221" s="244">
        <f t="shared" si="30"/>
        <v>98.504000000000005</v>
      </c>
      <c r="H221" s="244">
        <f t="shared" si="30"/>
        <v>531.74</v>
      </c>
      <c r="I221" s="244">
        <f t="shared" si="30"/>
        <v>0.22400000000000003</v>
      </c>
      <c r="J221" s="244">
        <f t="shared" si="30"/>
        <v>1.6920000000000002</v>
      </c>
      <c r="K221" s="244">
        <f t="shared" si="30"/>
        <v>3.2000000000000001E-2</v>
      </c>
      <c r="L221" s="244">
        <f t="shared" si="30"/>
        <v>4.9479999999999995</v>
      </c>
      <c r="M221" s="244">
        <f t="shared" si="30"/>
        <v>141.49199999999999</v>
      </c>
      <c r="N221" s="244">
        <f t="shared" si="30"/>
        <v>191.82400000000001</v>
      </c>
      <c r="O221" s="244">
        <f t="shared" si="30"/>
        <v>51.855999999999995</v>
      </c>
      <c r="P221" s="244">
        <f t="shared" si="30"/>
        <v>2.476</v>
      </c>
    </row>
    <row r="222" spans="1:16" ht="15.75" customHeight="1">
      <c r="A222" s="40">
        <v>8</v>
      </c>
      <c r="B222" s="125"/>
      <c r="C222" s="125" t="s">
        <v>32</v>
      </c>
      <c r="D222" s="50"/>
      <c r="E222" s="125">
        <f>SUM(E207+E217+E221)</f>
        <v>54.01466666666667</v>
      </c>
      <c r="F222" s="125">
        <v>53.219666666666669</v>
      </c>
      <c r="G222" s="125">
        <v>258.31202898550725</v>
      </c>
      <c r="H222" s="125">
        <v>1748.5457826086956</v>
      </c>
      <c r="I222" s="125">
        <v>0.61243478260869577</v>
      </c>
      <c r="J222" s="125">
        <v>36.132347826086956</v>
      </c>
      <c r="K222" s="125">
        <v>17.940000000000001</v>
      </c>
      <c r="L222" s="125">
        <v>15.720478260869566</v>
      </c>
      <c r="M222" s="125">
        <v>356.90695652173918</v>
      </c>
      <c r="N222" s="125">
        <v>541.11504347826087</v>
      </c>
      <c r="O222" s="125">
        <v>412.33417391304357</v>
      </c>
      <c r="P222" s="125">
        <v>47.193086956521739</v>
      </c>
    </row>
    <row r="223" spans="1:16" s="36" customFormat="1" ht="20.100000000000001" customHeight="1">
      <c r="B223" s="206" t="s">
        <v>145</v>
      </c>
      <c r="C223" s="38"/>
      <c r="D223" s="236"/>
      <c r="E223" s="43"/>
      <c r="F223" s="43"/>
      <c r="G223" s="43"/>
      <c r="H223" s="43"/>
      <c r="I223" s="43"/>
      <c r="J223" s="43"/>
      <c r="K223" s="43"/>
      <c r="L223" s="43"/>
      <c r="M223" s="43"/>
      <c r="N223" s="43"/>
      <c r="O223" s="43"/>
      <c r="P223" s="43"/>
    </row>
    <row r="224" spans="1:16" s="36" customFormat="1" ht="20.100000000000001" customHeight="1">
      <c r="B224" s="206" t="s">
        <v>142</v>
      </c>
      <c r="C224" s="38"/>
      <c r="D224" s="236"/>
      <c r="E224" s="43"/>
      <c r="F224" s="43"/>
      <c r="G224" s="43"/>
      <c r="H224" s="43"/>
      <c r="I224" s="43"/>
      <c r="J224" s="43"/>
      <c r="K224" s="43"/>
      <c r="L224" s="43"/>
      <c r="M224" s="43"/>
      <c r="N224" s="43"/>
      <c r="O224" s="43"/>
      <c r="P224" s="43"/>
    </row>
    <row r="225" spans="1:16" s="36" customFormat="1" ht="20.100000000000001" customHeight="1">
      <c r="B225" s="206" t="s">
        <v>196</v>
      </c>
      <c r="C225" s="38"/>
      <c r="D225" s="236"/>
      <c r="E225" s="43"/>
      <c r="F225" s="43"/>
      <c r="G225" s="43"/>
      <c r="H225" s="43"/>
      <c r="I225" s="43"/>
      <c r="J225" s="43"/>
      <c r="K225" s="43"/>
      <c r="L225" s="43"/>
      <c r="M225" s="43"/>
      <c r="N225" s="43"/>
      <c r="O225" s="43"/>
      <c r="P225" s="43"/>
    </row>
    <row r="226" spans="1:16" s="36" customFormat="1" ht="33.75" customHeight="1">
      <c r="B226" s="256" t="s">
        <v>0</v>
      </c>
      <c r="C226" s="256" t="s">
        <v>1</v>
      </c>
      <c r="D226" s="257" t="s">
        <v>2</v>
      </c>
      <c r="E226" s="255" t="s">
        <v>3</v>
      </c>
      <c r="F226" s="255"/>
      <c r="G226" s="255"/>
      <c r="H226" s="255" t="s">
        <v>4</v>
      </c>
      <c r="I226" s="255" t="s">
        <v>5</v>
      </c>
      <c r="J226" s="255"/>
      <c r="K226" s="255"/>
      <c r="L226" s="255"/>
      <c r="M226" s="255" t="s">
        <v>6</v>
      </c>
      <c r="N226" s="255"/>
      <c r="O226" s="255"/>
      <c r="P226" s="255"/>
    </row>
    <row r="227" spans="1:16" s="36" customFormat="1" ht="23.45" customHeight="1">
      <c r="B227" s="256"/>
      <c r="C227" s="256"/>
      <c r="D227" s="257"/>
      <c r="E227" s="125" t="s">
        <v>7</v>
      </c>
      <c r="F227" s="125" t="s">
        <v>8</v>
      </c>
      <c r="G227" s="125" t="s">
        <v>9</v>
      </c>
      <c r="H227" s="255"/>
      <c r="I227" s="125" t="s">
        <v>136</v>
      </c>
      <c r="J227" s="125" t="s">
        <v>10</v>
      </c>
      <c r="K227" s="125" t="s">
        <v>11</v>
      </c>
      <c r="L227" s="125" t="s">
        <v>12</v>
      </c>
      <c r="M227" s="125" t="s">
        <v>13</v>
      </c>
      <c r="N227" s="125" t="s">
        <v>14</v>
      </c>
      <c r="O227" s="125" t="s">
        <v>15</v>
      </c>
      <c r="P227" s="125" t="s">
        <v>16</v>
      </c>
    </row>
    <row r="228" spans="1:16" ht="14.45" customHeight="1">
      <c r="A228" s="40">
        <v>9</v>
      </c>
      <c r="B228" s="255" t="s">
        <v>17</v>
      </c>
      <c r="C228" s="255"/>
      <c r="D228" s="255"/>
      <c r="E228" s="255"/>
      <c r="F228" s="255"/>
      <c r="G228" s="255"/>
      <c r="H228" s="255"/>
      <c r="I228" s="255"/>
      <c r="J228" s="255"/>
      <c r="K228" s="255"/>
      <c r="L228" s="255"/>
      <c r="M228" s="255"/>
      <c r="N228" s="255"/>
      <c r="O228" s="255"/>
      <c r="P228" s="255"/>
    </row>
    <row r="229" spans="1:16" ht="14.45" customHeight="1">
      <c r="B229" s="125" t="s">
        <v>234</v>
      </c>
      <c r="C229" s="55" t="s">
        <v>233</v>
      </c>
      <c r="D229" s="50">
        <v>200</v>
      </c>
      <c r="E229" s="56">
        <v>13.25</v>
      </c>
      <c r="F229" s="56">
        <v>12</v>
      </c>
      <c r="G229" s="56">
        <v>47.75</v>
      </c>
      <c r="H229" s="56">
        <v>352</v>
      </c>
      <c r="I229" s="56">
        <v>7.4999999999999997E-2</v>
      </c>
      <c r="J229" s="56">
        <v>7.4999999999999997E-2</v>
      </c>
      <c r="K229" s="56">
        <v>7.4999999999999997E-2</v>
      </c>
      <c r="L229" s="56">
        <v>1.175</v>
      </c>
      <c r="M229" s="56">
        <v>210</v>
      </c>
      <c r="N229" s="56">
        <v>166.75</v>
      </c>
      <c r="O229" s="56">
        <v>18.25</v>
      </c>
      <c r="P229" s="56">
        <v>1.25</v>
      </c>
    </row>
    <row r="230" spans="1:16" ht="29.25" customHeight="1">
      <c r="B230" s="125"/>
      <c r="C230" s="55" t="s">
        <v>193</v>
      </c>
      <c r="D230" s="50">
        <v>38</v>
      </c>
      <c r="E230" s="56">
        <v>2.09</v>
      </c>
      <c r="F230" s="56">
        <v>2.4700000000000002</v>
      </c>
      <c r="G230" s="56">
        <v>13.262</v>
      </c>
      <c r="H230" s="56">
        <v>83.637999999999991</v>
      </c>
      <c r="I230" s="56">
        <v>1.52E-2</v>
      </c>
      <c r="J230" s="56">
        <v>3.4200000000000001E-2</v>
      </c>
      <c r="K230" s="56">
        <v>3.8000000000000006E-2</v>
      </c>
      <c r="L230" s="56">
        <v>1.5959999999999999</v>
      </c>
      <c r="M230" s="56">
        <v>11.665999999999999</v>
      </c>
      <c r="N230" s="56">
        <v>21.698</v>
      </c>
      <c r="O230" s="56">
        <v>2.4320000000000004</v>
      </c>
      <c r="P230" s="56">
        <v>0.26599999999999996</v>
      </c>
    </row>
    <row r="231" spans="1:16" ht="19.5" customHeight="1">
      <c r="B231" s="125"/>
      <c r="C231" s="55" t="s">
        <v>216</v>
      </c>
      <c r="D231" s="50">
        <v>150</v>
      </c>
      <c r="E231" s="56">
        <v>0.6</v>
      </c>
      <c r="F231" s="56">
        <v>0.6</v>
      </c>
      <c r="G231" s="56">
        <v>14.7</v>
      </c>
      <c r="H231" s="56">
        <v>66.600000000000009</v>
      </c>
      <c r="I231" s="56">
        <v>4.4999999999999998E-2</v>
      </c>
      <c r="J231" s="56">
        <v>15</v>
      </c>
      <c r="K231" s="56">
        <v>0</v>
      </c>
      <c r="L231" s="56">
        <v>0.3</v>
      </c>
      <c r="M231" s="56">
        <v>24</v>
      </c>
      <c r="N231" s="56">
        <v>16.5</v>
      </c>
      <c r="O231" s="56">
        <v>13.5</v>
      </c>
      <c r="P231" s="56">
        <v>3.3</v>
      </c>
    </row>
    <row r="232" spans="1:16" ht="17.25" customHeight="1">
      <c r="B232" s="125" t="s">
        <v>192</v>
      </c>
      <c r="C232" s="55" t="s">
        <v>26</v>
      </c>
      <c r="D232" s="50" t="s">
        <v>289</v>
      </c>
      <c r="E232" s="56">
        <v>0.08</v>
      </c>
      <c r="F232" s="56">
        <v>0.02</v>
      </c>
      <c r="G232" s="56">
        <v>15</v>
      </c>
      <c r="H232" s="56">
        <v>60.5</v>
      </c>
      <c r="I232" s="56">
        <v>0</v>
      </c>
      <c r="J232" s="56">
        <v>0</v>
      </c>
      <c r="K232" s="56">
        <v>0.04</v>
      </c>
      <c r="L232" s="56">
        <v>0</v>
      </c>
      <c r="M232" s="56">
        <v>11.1</v>
      </c>
      <c r="N232" s="56">
        <v>1.4</v>
      </c>
      <c r="O232" s="56">
        <v>2.8</v>
      </c>
      <c r="P232" s="56">
        <v>0.28000000000000003</v>
      </c>
    </row>
    <row r="233" spans="1:16" ht="14.45" customHeight="1">
      <c r="A233" s="40">
        <v>9</v>
      </c>
      <c r="B233" s="125"/>
      <c r="C233" s="125" t="s">
        <v>18</v>
      </c>
      <c r="D233" s="50"/>
      <c r="E233" s="125">
        <f>SUM(E229:E232)</f>
        <v>16.02</v>
      </c>
      <c r="F233" s="244">
        <f t="shared" ref="F233:P233" si="31">SUM(F229:F232)</f>
        <v>15.09</v>
      </c>
      <c r="G233" s="244">
        <f t="shared" si="31"/>
        <v>90.712000000000003</v>
      </c>
      <c r="H233" s="244">
        <f t="shared" si="31"/>
        <v>562.73800000000006</v>
      </c>
      <c r="I233" s="244">
        <f t="shared" si="31"/>
        <v>0.13519999999999999</v>
      </c>
      <c r="J233" s="244">
        <f t="shared" si="31"/>
        <v>15.1092</v>
      </c>
      <c r="K233" s="244">
        <f t="shared" si="31"/>
        <v>0.153</v>
      </c>
      <c r="L233" s="244">
        <f t="shared" si="31"/>
        <v>3.0709999999999997</v>
      </c>
      <c r="M233" s="244">
        <f t="shared" si="31"/>
        <v>256.76600000000002</v>
      </c>
      <c r="N233" s="244">
        <f t="shared" si="31"/>
        <v>206.34800000000001</v>
      </c>
      <c r="O233" s="244">
        <f t="shared" si="31"/>
        <v>36.981999999999999</v>
      </c>
      <c r="P233" s="244">
        <f t="shared" si="31"/>
        <v>5.0960000000000001</v>
      </c>
    </row>
    <row r="234" spans="1:16" ht="18" customHeight="1">
      <c r="A234" s="40">
        <v>9</v>
      </c>
      <c r="B234" s="255" t="s">
        <v>19</v>
      </c>
      <c r="C234" s="255"/>
      <c r="D234" s="255"/>
      <c r="E234" s="255"/>
      <c r="F234" s="255"/>
      <c r="G234" s="255"/>
      <c r="H234" s="255"/>
      <c r="I234" s="255"/>
      <c r="J234" s="255"/>
      <c r="K234" s="255"/>
      <c r="L234" s="255"/>
      <c r="M234" s="255"/>
      <c r="N234" s="255"/>
      <c r="O234" s="255"/>
      <c r="P234" s="255"/>
    </row>
    <row r="235" spans="1:16" ht="18" customHeight="1">
      <c r="A235" s="40">
        <v>9</v>
      </c>
      <c r="B235" s="244" t="s">
        <v>220</v>
      </c>
      <c r="C235" s="55" t="s">
        <v>219</v>
      </c>
      <c r="D235" s="245">
        <v>100</v>
      </c>
      <c r="E235" s="41">
        <v>6.44</v>
      </c>
      <c r="F235" s="41">
        <v>5.59</v>
      </c>
      <c r="G235" s="41">
        <v>37.85</v>
      </c>
      <c r="H235" s="41">
        <v>227.47000000000003</v>
      </c>
      <c r="I235" s="41">
        <v>0</v>
      </c>
      <c r="J235" s="41">
        <v>0.35</v>
      </c>
      <c r="K235" s="41">
        <v>0</v>
      </c>
      <c r="L235" s="41">
        <v>3.43</v>
      </c>
      <c r="M235" s="41">
        <v>84.32</v>
      </c>
      <c r="N235" s="41">
        <v>77.22</v>
      </c>
      <c r="O235" s="41">
        <v>297.75</v>
      </c>
      <c r="P235" s="41">
        <v>3.9</v>
      </c>
    </row>
    <row r="236" spans="1:16" ht="16.149999999999999" customHeight="1">
      <c r="A236" s="40">
        <v>9</v>
      </c>
      <c r="B236" s="125" t="s">
        <v>237</v>
      </c>
      <c r="C236" s="55" t="s">
        <v>235</v>
      </c>
      <c r="D236" s="50" t="s">
        <v>183</v>
      </c>
      <c r="E236" s="41">
        <v>1.7572115384615383</v>
      </c>
      <c r="F236" s="41">
        <v>4.875</v>
      </c>
      <c r="G236" s="41">
        <v>10.545673076923077</v>
      </c>
      <c r="H236" s="41">
        <v>93.086538461538453</v>
      </c>
      <c r="I236" s="41">
        <v>4.807692307692308E-4</v>
      </c>
      <c r="J236" s="41">
        <v>4.807692307692308E-3</v>
      </c>
      <c r="K236" s="41">
        <v>11.298076923076923</v>
      </c>
      <c r="L236" s="41">
        <v>2.4086538461538458</v>
      </c>
      <c r="M236" s="41">
        <v>48.701923076923073</v>
      </c>
      <c r="N236" s="41">
        <v>25.81730769230769</v>
      </c>
      <c r="O236" s="41">
        <v>52.5</v>
      </c>
      <c r="P236" s="41">
        <v>1.2019230769230769</v>
      </c>
    </row>
    <row r="237" spans="1:16" ht="14.45" customHeight="1">
      <c r="A237" s="40">
        <v>9</v>
      </c>
      <c r="B237" s="244" t="s">
        <v>297</v>
      </c>
      <c r="C237" s="55" t="s">
        <v>298</v>
      </c>
      <c r="D237" s="245" t="s">
        <v>300</v>
      </c>
      <c r="E237" s="44">
        <v>7.379999999999999</v>
      </c>
      <c r="F237" s="44">
        <v>10.89</v>
      </c>
      <c r="G237" s="44">
        <v>5.0399999999999991</v>
      </c>
      <c r="H237" s="44">
        <v>147.69</v>
      </c>
      <c r="I237" s="44">
        <v>0</v>
      </c>
      <c r="J237" s="44">
        <v>0.09</v>
      </c>
      <c r="K237" s="44">
        <v>0.9900000000000001</v>
      </c>
      <c r="L237" s="44">
        <v>1.35</v>
      </c>
      <c r="M237" s="44">
        <v>21.42</v>
      </c>
      <c r="N237" s="44">
        <v>122.4</v>
      </c>
      <c r="O237" s="44">
        <v>15.75</v>
      </c>
      <c r="P237" s="44">
        <v>1.44</v>
      </c>
    </row>
    <row r="238" spans="1:16" ht="15.6" customHeight="1">
      <c r="B238" s="125" t="s">
        <v>164</v>
      </c>
      <c r="C238" s="55" t="s">
        <v>272</v>
      </c>
      <c r="D238" s="50">
        <v>180</v>
      </c>
      <c r="E238" s="41">
        <v>10.295999999999999</v>
      </c>
      <c r="F238" s="41">
        <v>8.7480000000000011</v>
      </c>
      <c r="G238" s="41">
        <v>37.224000000000004</v>
      </c>
      <c r="H238" s="41">
        <v>268.81200000000001</v>
      </c>
      <c r="I238" s="41">
        <v>0.28800000000000003</v>
      </c>
      <c r="J238" s="41">
        <v>0</v>
      </c>
      <c r="K238" s="41">
        <v>1.8000000000000002E-2</v>
      </c>
      <c r="L238" s="41">
        <v>0.72</v>
      </c>
      <c r="M238" s="41">
        <v>18.468</v>
      </c>
      <c r="N238" s="41">
        <v>243.99000000000004</v>
      </c>
      <c r="O238" s="41">
        <v>162.57599999999999</v>
      </c>
      <c r="P238" s="41">
        <v>5.58</v>
      </c>
    </row>
    <row r="239" spans="1:16" ht="15.6" customHeight="1">
      <c r="B239" s="125" t="s">
        <v>154</v>
      </c>
      <c r="C239" s="55" t="s">
        <v>56</v>
      </c>
      <c r="D239" s="50">
        <v>150</v>
      </c>
      <c r="E239" s="41">
        <v>0.495</v>
      </c>
      <c r="F239" s="41">
        <v>7.4999999999999997E-2</v>
      </c>
      <c r="G239" s="41">
        <v>21.015000000000001</v>
      </c>
      <c r="H239" s="41">
        <v>86.715000000000003</v>
      </c>
      <c r="I239" s="41">
        <v>1.4999999999999999E-2</v>
      </c>
      <c r="J239" s="41">
        <v>0.51000000000000012</v>
      </c>
      <c r="K239" s="41">
        <v>0</v>
      </c>
      <c r="L239" s="41">
        <v>0.375</v>
      </c>
      <c r="M239" s="41">
        <v>24.27</v>
      </c>
      <c r="N239" s="41">
        <v>17.579999999999998</v>
      </c>
      <c r="O239" s="41">
        <v>13.095000000000001</v>
      </c>
      <c r="P239" s="41">
        <v>0.5159999999999999</v>
      </c>
    </row>
    <row r="240" spans="1:16" ht="13.15" customHeight="1">
      <c r="A240" s="40">
        <v>9</v>
      </c>
      <c r="B240" s="125" t="s">
        <v>57</v>
      </c>
      <c r="C240" s="55" t="s">
        <v>20</v>
      </c>
      <c r="D240" s="50">
        <v>40</v>
      </c>
      <c r="E240" s="41">
        <v>3.0666666666666664</v>
      </c>
      <c r="F240" s="41">
        <v>0.26666666666666672</v>
      </c>
      <c r="G240" s="41">
        <v>19.733333333333334</v>
      </c>
      <c r="H240" s="41">
        <v>93.6</v>
      </c>
      <c r="I240" s="41">
        <v>0</v>
      </c>
      <c r="J240" s="41">
        <v>0</v>
      </c>
      <c r="K240" s="41">
        <v>0</v>
      </c>
      <c r="L240" s="41">
        <v>0.4</v>
      </c>
      <c r="M240" s="41">
        <v>8</v>
      </c>
      <c r="N240" s="41">
        <v>26</v>
      </c>
      <c r="O240" s="41">
        <v>5.6000000000000014</v>
      </c>
      <c r="P240" s="41">
        <v>0.4</v>
      </c>
    </row>
    <row r="241" spans="1:16" ht="15.6" customHeight="1">
      <c r="A241" s="40">
        <v>9</v>
      </c>
      <c r="B241" s="125" t="s">
        <v>150</v>
      </c>
      <c r="C241" s="55" t="s">
        <v>21</v>
      </c>
      <c r="D241" s="50">
        <v>50</v>
      </c>
      <c r="E241" s="41">
        <v>3.25</v>
      </c>
      <c r="F241" s="41">
        <v>0.625</v>
      </c>
      <c r="G241" s="41">
        <v>19.75</v>
      </c>
      <c r="H241" s="41">
        <v>97.625</v>
      </c>
      <c r="I241" s="41">
        <v>0.125</v>
      </c>
      <c r="J241" s="41">
        <v>0</v>
      </c>
      <c r="K241" s="41">
        <v>0</v>
      </c>
      <c r="L241" s="41">
        <v>0.75</v>
      </c>
      <c r="M241" s="41">
        <v>14.499999999999998</v>
      </c>
      <c r="N241" s="41">
        <v>75</v>
      </c>
      <c r="O241" s="41">
        <v>23.5</v>
      </c>
      <c r="P241" s="41">
        <v>2</v>
      </c>
    </row>
    <row r="242" spans="1:16" ht="18" customHeight="1">
      <c r="A242" s="40">
        <v>9</v>
      </c>
      <c r="B242" s="125"/>
      <c r="C242" s="125" t="s">
        <v>18</v>
      </c>
      <c r="D242" s="50"/>
      <c r="E242" s="125">
        <f>SUM(E235:E241)</f>
        <v>32.6848782051282</v>
      </c>
      <c r="F242" s="244">
        <f t="shared" ref="F242:P242" si="32">SUM(F235:F241)</f>
        <v>31.069666666666667</v>
      </c>
      <c r="G242" s="244">
        <f t="shared" si="32"/>
        <v>151.15800641025641</v>
      </c>
      <c r="H242" s="244">
        <f t="shared" si="32"/>
        <v>1014.9985384615386</v>
      </c>
      <c r="I242" s="244">
        <f t="shared" si="32"/>
        <v>0.42848076923076928</v>
      </c>
      <c r="J242" s="244">
        <f t="shared" si="32"/>
        <v>0.95480769230769236</v>
      </c>
      <c r="K242" s="244">
        <f t="shared" si="32"/>
        <v>12.306076923076924</v>
      </c>
      <c r="L242" s="244">
        <f t="shared" si="32"/>
        <v>9.4336538461538471</v>
      </c>
      <c r="M242" s="244">
        <f t="shared" si="32"/>
        <v>219.67992307692305</v>
      </c>
      <c r="N242" s="244">
        <f t="shared" si="32"/>
        <v>588.00730769230768</v>
      </c>
      <c r="O242" s="244">
        <f t="shared" si="32"/>
        <v>570.77100000000007</v>
      </c>
      <c r="P242" s="244">
        <f t="shared" si="32"/>
        <v>15.037923076923077</v>
      </c>
    </row>
    <row r="243" spans="1:16" ht="18" customHeight="1">
      <c r="A243" s="40">
        <v>9</v>
      </c>
      <c r="B243" s="255" t="s">
        <v>22</v>
      </c>
      <c r="C243" s="255"/>
      <c r="D243" s="255"/>
      <c r="E243" s="255"/>
      <c r="F243" s="255"/>
      <c r="G243" s="255"/>
      <c r="H243" s="255"/>
      <c r="I243" s="255"/>
      <c r="J243" s="255"/>
      <c r="K243" s="255"/>
      <c r="L243" s="255"/>
      <c r="M243" s="255"/>
      <c r="N243" s="255"/>
      <c r="O243" s="255"/>
      <c r="P243" s="255"/>
    </row>
    <row r="244" spans="1:16" ht="15.6" customHeight="1">
      <c r="A244" s="40">
        <v>9</v>
      </c>
      <c r="B244" s="125" t="s">
        <v>97</v>
      </c>
      <c r="C244" s="55" t="s">
        <v>273</v>
      </c>
      <c r="D244" s="50">
        <v>120</v>
      </c>
      <c r="E244" s="41">
        <v>12</v>
      </c>
      <c r="F244" s="41">
        <v>14.4</v>
      </c>
      <c r="G244" s="41">
        <v>58.8</v>
      </c>
      <c r="H244" s="41">
        <v>412.8</v>
      </c>
      <c r="I244" s="41">
        <v>0.15600000000000003</v>
      </c>
      <c r="J244" s="41">
        <v>0</v>
      </c>
      <c r="K244" s="41">
        <v>0</v>
      </c>
      <c r="L244" s="41">
        <v>2.04</v>
      </c>
      <c r="M244" s="41">
        <v>8.4</v>
      </c>
      <c r="N244" s="41">
        <v>75.599999999999994</v>
      </c>
      <c r="O244" s="41">
        <v>30</v>
      </c>
      <c r="P244" s="41">
        <v>1.68</v>
      </c>
    </row>
    <row r="245" spans="1:16" ht="14.45" customHeight="1">
      <c r="A245" s="40">
        <v>9</v>
      </c>
      <c r="B245" s="214" t="s">
        <v>284</v>
      </c>
      <c r="C245" s="55" t="s">
        <v>285</v>
      </c>
      <c r="D245" s="50">
        <v>100</v>
      </c>
      <c r="E245" s="41">
        <v>1</v>
      </c>
      <c r="F245" s="41">
        <v>3.8</v>
      </c>
      <c r="G245" s="41">
        <v>7.9</v>
      </c>
      <c r="H245" s="41">
        <v>69.8</v>
      </c>
      <c r="I245" s="41">
        <v>0</v>
      </c>
      <c r="J245" s="41">
        <v>9.6</v>
      </c>
      <c r="K245" s="41">
        <v>0</v>
      </c>
      <c r="L245" s="41">
        <v>3.3</v>
      </c>
      <c r="M245" s="41">
        <v>43.9</v>
      </c>
      <c r="N245" s="41">
        <v>41.4</v>
      </c>
      <c r="O245" s="41">
        <v>28</v>
      </c>
      <c r="P245" s="41">
        <v>1.4</v>
      </c>
    </row>
    <row r="246" spans="1:16" ht="14.45" customHeight="1">
      <c r="B246" s="125" t="s">
        <v>151</v>
      </c>
      <c r="C246" s="55" t="s">
        <v>49</v>
      </c>
      <c r="D246" s="50">
        <v>200</v>
      </c>
      <c r="E246" s="41">
        <v>0.16</v>
      </c>
      <c r="F246" s="41">
        <v>0.16</v>
      </c>
      <c r="G246" s="41">
        <v>19.88</v>
      </c>
      <c r="H246" s="41">
        <v>81.599999999999994</v>
      </c>
      <c r="I246" s="41">
        <v>0.02</v>
      </c>
      <c r="J246" s="41">
        <v>0.9</v>
      </c>
      <c r="K246" s="41">
        <v>0</v>
      </c>
      <c r="L246" s="41">
        <v>0.08</v>
      </c>
      <c r="M246" s="41">
        <v>13.94</v>
      </c>
      <c r="N246" s="41">
        <v>4.4000000000000004</v>
      </c>
      <c r="O246" s="41">
        <v>5.14</v>
      </c>
      <c r="P246" s="41">
        <v>0.93600000000000005</v>
      </c>
    </row>
    <row r="247" spans="1:16" ht="15.6" customHeight="1">
      <c r="A247" s="40">
        <v>9</v>
      </c>
      <c r="B247" s="125"/>
      <c r="C247" s="125" t="s">
        <v>18</v>
      </c>
      <c r="D247" s="50"/>
      <c r="E247" s="125">
        <f>SUM(E244:E246)</f>
        <v>13.16</v>
      </c>
      <c r="F247" s="244">
        <f t="shared" ref="F247:P247" si="33">SUM(F244:F246)</f>
        <v>18.36</v>
      </c>
      <c r="G247" s="244">
        <f t="shared" si="33"/>
        <v>86.58</v>
      </c>
      <c r="H247" s="244">
        <f t="shared" si="33"/>
        <v>564.20000000000005</v>
      </c>
      <c r="I247" s="244">
        <f t="shared" si="33"/>
        <v>0.17600000000000002</v>
      </c>
      <c r="J247" s="244">
        <f t="shared" si="33"/>
        <v>10.5</v>
      </c>
      <c r="K247" s="244">
        <f t="shared" si="33"/>
        <v>0</v>
      </c>
      <c r="L247" s="244">
        <f t="shared" si="33"/>
        <v>5.42</v>
      </c>
      <c r="M247" s="244">
        <f t="shared" si="33"/>
        <v>66.239999999999995</v>
      </c>
      <c r="N247" s="244">
        <f t="shared" si="33"/>
        <v>121.4</v>
      </c>
      <c r="O247" s="244">
        <f t="shared" si="33"/>
        <v>63.14</v>
      </c>
      <c r="P247" s="244">
        <f t="shared" si="33"/>
        <v>4.016</v>
      </c>
    </row>
    <row r="248" spans="1:16" ht="13.9" customHeight="1">
      <c r="A248" s="40">
        <v>9</v>
      </c>
      <c r="B248" s="125"/>
      <c r="C248" s="125" t="s">
        <v>33</v>
      </c>
      <c r="D248" s="50"/>
      <c r="E248" s="125">
        <f>SUM(E233+E242+E247)</f>
        <v>61.864878205128193</v>
      </c>
      <c r="F248" s="244">
        <f t="shared" ref="F248:P248" si="34">SUM(F233+F242+F247)</f>
        <v>64.519666666666666</v>
      </c>
      <c r="G248" s="244">
        <f t="shared" si="34"/>
        <v>328.45000641025638</v>
      </c>
      <c r="H248" s="244">
        <f t="shared" si="34"/>
        <v>2141.9365384615385</v>
      </c>
      <c r="I248" s="244">
        <f t="shared" si="34"/>
        <v>0.73968076923076931</v>
      </c>
      <c r="J248" s="244">
        <f t="shared" si="34"/>
        <v>26.56400769230769</v>
      </c>
      <c r="K248" s="244">
        <f t="shared" si="34"/>
        <v>12.459076923076925</v>
      </c>
      <c r="L248" s="244">
        <f t="shared" si="34"/>
        <v>17.924653846153845</v>
      </c>
      <c r="M248" s="244">
        <f t="shared" si="34"/>
        <v>542.68592307692302</v>
      </c>
      <c r="N248" s="244">
        <f t="shared" si="34"/>
        <v>915.75530769230761</v>
      </c>
      <c r="O248" s="244">
        <f t="shared" si="34"/>
        <v>670.89300000000003</v>
      </c>
      <c r="P248" s="244">
        <f t="shared" si="34"/>
        <v>24.149923076923073</v>
      </c>
    </row>
    <row r="249" spans="1:16" s="36" customFormat="1" ht="20.100000000000001" customHeight="1">
      <c r="B249" s="244"/>
      <c r="C249" s="55"/>
      <c r="D249" s="245"/>
      <c r="E249" s="41"/>
      <c r="F249" s="41"/>
      <c r="G249" s="41"/>
      <c r="H249" s="41"/>
      <c r="I249" s="41"/>
      <c r="J249" s="41"/>
      <c r="K249" s="41"/>
      <c r="L249" s="41"/>
      <c r="M249" s="41"/>
      <c r="N249" s="41"/>
      <c r="O249" s="41"/>
      <c r="P249" s="41"/>
    </row>
    <row r="250" spans="1:16" s="36" customFormat="1" ht="20.100000000000001" customHeight="1">
      <c r="B250" s="206" t="s">
        <v>146</v>
      </c>
      <c r="C250" s="38"/>
      <c r="D250" s="236"/>
      <c r="E250" s="43"/>
      <c r="F250" s="43"/>
      <c r="G250" s="43"/>
      <c r="H250" s="43"/>
      <c r="I250" s="43"/>
      <c r="J250" s="43"/>
      <c r="K250" s="43"/>
      <c r="L250" s="43"/>
      <c r="M250" s="43"/>
      <c r="N250" s="43"/>
      <c r="O250" s="43"/>
      <c r="P250" s="43"/>
    </row>
    <row r="251" spans="1:16" s="36" customFormat="1" ht="20.100000000000001" customHeight="1">
      <c r="B251" s="206" t="s">
        <v>142</v>
      </c>
      <c r="C251" s="38"/>
      <c r="D251" s="236"/>
      <c r="E251" s="43"/>
      <c r="F251" s="43"/>
      <c r="G251" s="43"/>
      <c r="H251" s="43"/>
      <c r="I251" s="43"/>
      <c r="J251" s="43"/>
      <c r="K251" s="43"/>
      <c r="L251" s="43"/>
      <c r="M251" s="43"/>
      <c r="N251" s="43"/>
      <c r="O251" s="43"/>
      <c r="P251" s="43"/>
    </row>
    <row r="252" spans="1:16" s="36" customFormat="1" ht="20.100000000000001" customHeight="1">
      <c r="B252" s="206" t="s">
        <v>196</v>
      </c>
      <c r="C252" s="38"/>
      <c r="D252" s="236"/>
      <c r="E252" s="43"/>
      <c r="F252" s="43"/>
      <c r="G252" s="43"/>
      <c r="H252" s="43"/>
      <c r="I252" s="43"/>
      <c r="J252" s="43"/>
      <c r="K252" s="43"/>
      <c r="L252" s="43"/>
      <c r="M252" s="43"/>
      <c r="N252" s="43"/>
      <c r="O252" s="43"/>
      <c r="P252" s="43"/>
    </row>
    <row r="253" spans="1:16" s="36" customFormat="1" ht="20.100000000000001" hidden="1" customHeight="1">
      <c r="B253" s="42"/>
      <c r="C253" s="42"/>
      <c r="D253" s="236"/>
      <c r="E253" s="43"/>
      <c r="F253" s="43"/>
      <c r="G253" s="43"/>
      <c r="H253" s="43"/>
      <c r="I253" s="43"/>
      <c r="J253" s="43"/>
      <c r="K253" s="43"/>
      <c r="L253" s="43"/>
      <c r="M253" s="43"/>
      <c r="N253" s="43"/>
      <c r="O253" s="43"/>
      <c r="P253" s="43"/>
    </row>
    <row r="254" spans="1:16" s="36" customFormat="1" ht="37.5" customHeight="1">
      <c r="B254" s="256" t="s">
        <v>0</v>
      </c>
      <c r="C254" s="256" t="s">
        <v>1</v>
      </c>
      <c r="D254" s="257" t="s">
        <v>2</v>
      </c>
      <c r="E254" s="255" t="s">
        <v>3</v>
      </c>
      <c r="F254" s="255"/>
      <c r="G254" s="255"/>
      <c r="H254" s="255" t="s">
        <v>4</v>
      </c>
      <c r="I254" s="255" t="s">
        <v>5</v>
      </c>
      <c r="J254" s="255"/>
      <c r="K254" s="255"/>
      <c r="L254" s="255"/>
      <c r="M254" s="255" t="s">
        <v>6</v>
      </c>
      <c r="N254" s="255"/>
      <c r="O254" s="255"/>
      <c r="P254" s="255"/>
    </row>
    <row r="255" spans="1:16" s="36" customFormat="1" ht="22.9" customHeight="1">
      <c r="B255" s="256"/>
      <c r="C255" s="256"/>
      <c r="D255" s="257"/>
      <c r="E255" s="125" t="s">
        <v>7</v>
      </c>
      <c r="F255" s="125" t="s">
        <v>8</v>
      </c>
      <c r="G255" s="125" t="s">
        <v>9</v>
      </c>
      <c r="H255" s="255"/>
      <c r="I255" s="125" t="s">
        <v>136</v>
      </c>
      <c r="J255" s="125" t="s">
        <v>10</v>
      </c>
      <c r="K255" s="125" t="s">
        <v>11</v>
      </c>
      <c r="L255" s="125" t="s">
        <v>12</v>
      </c>
      <c r="M255" s="125" t="s">
        <v>13</v>
      </c>
      <c r="N255" s="125" t="s">
        <v>14</v>
      </c>
      <c r="O255" s="125" t="s">
        <v>15</v>
      </c>
      <c r="P255" s="125" t="s">
        <v>16</v>
      </c>
    </row>
    <row r="256" spans="1:16" ht="13.9" customHeight="1">
      <c r="A256" s="40">
        <v>10</v>
      </c>
      <c r="B256" s="255" t="s">
        <v>17</v>
      </c>
      <c r="C256" s="255"/>
      <c r="D256" s="255"/>
      <c r="E256" s="255"/>
      <c r="F256" s="255"/>
      <c r="G256" s="255"/>
      <c r="H256" s="260"/>
      <c r="I256" s="260"/>
      <c r="J256" s="260"/>
      <c r="K256" s="260"/>
      <c r="L256" s="260"/>
      <c r="M256" s="260"/>
      <c r="N256" s="260"/>
      <c r="O256" s="260"/>
      <c r="P256" s="260"/>
    </row>
    <row r="257" spans="1:16" ht="28.15" customHeight="1">
      <c r="A257" s="40">
        <v>10</v>
      </c>
      <c r="B257" s="49" t="s">
        <v>191</v>
      </c>
      <c r="C257" s="55" t="s">
        <v>275</v>
      </c>
      <c r="D257" s="50" t="s">
        <v>187</v>
      </c>
      <c r="E257" s="54">
        <v>17.84</v>
      </c>
      <c r="F257" s="54">
        <v>11.225</v>
      </c>
      <c r="G257" s="54">
        <v>54.454999999999998</v>
      </c>
      <c r="H257" s="54">
        <v>390.20499999999993</v>
      </c>
      <c r="I257" s="54">
        <v>0.20050000000000001</v>
      </c>
      <c r="J257" s="54">
        <v>0.4</v>
      </c>
      <c r="K257" s="54">
        <v>0.02</v>
      </c>
      <c r="L257" s="54">
        <v>1.45</v>
      </c>
      <c r="M257" s="54">
        <v>150</v>
      </c>
      <c r="N257" s="54">
        <v>47.3</v>
      </c>
      <c r="O257" s="54">
        <v>194</v>
      </c>
      <c r="P257" s="54">
        <v>0.82499999999999996</v>
      </c>
    </row>
    <row r="258" spans="1:16" ht="15.6" customHeight="1">
      <c r="B258" s="49" t="s">
        <v>98</v>
      </c>
      <c r="C258" s="55" t="s">
        <v>24</v>
      </c>
      <c r="D258" s="50">
        <v>40</v>
      </c>
      <c r="E258" s="54">
        <v>3.2</v>
      </c>
      <c r="F258" s="54">
        <v>0.1</v>
      </c>
      <c r="G258" s="54">
        <v>21.2</v>
      </c>
      <c r="H258" s="54">
        <v>98.5</v>
      </c>
      <c r="I258" s="54">
        <v>0.08</v>
      </c>
      <c r="J258" s="54">
        <v>1.6</v>
      </c>
      <c r="K258" s="54">
        <v>0</v>
      </c>
      <c r="L258" s="54">
        <v>0</v>
      </c>
      <c r="M258" s="54">
        <v>15.2</v>
      </c>
      <c r="N258" s="54">
        <v>52</v>
      </c>
      <c r="O258" s="54">
        <v>10.4</v>
      </c>
      <c r="P258" s="54">
        <v>1</v>
      </c>
    </row>
    <row r="259" spans="1:16" ht="15.6" customHeight="1">
      <c r="B259" s="49" t="s">
        <v>192</v>
      </c>
      <c r="C259" s="55" t="s">
        <v>26</v>
      </c>
      <c r="D259" s="50" t="s">
        <v>178</v>
      </c>
      <c r="E259" s="54">
        <v>0.08</v>
      </c>
      <c r="F259" s="54">
        <v>0.02</v>
      </c>
      <c r="G259" s="54">
        <v>15</v>
      </c>
      <c r="H259" s="54">
        <v>60.5</v>
      </c>
      <c r="I259" s="54">
        <v>0</v>
      </c>
      <c r="J259" s="54">
        <v>0</v>
      </c>
      <c r="K259" s="54">
        <v>0.04</v>
      </c>
      <c r="L259" s="54">
        <v>0</v>
      </c>
      <c r="M259" s="54">
        <v>11.1</v>
      </c>
      <c r="N259" s="54">
        <v>1.4</v>
      </c>
      <c r="O259" s="54">
        <v>2.8</v>
      </c>
      <c r="P259" s="54">
        <v>0.28000000000000003</v>
      </c>
    </row>
    <row r="260" spans="1:16" ht="15.6" customHeight="1">
      <c r="B260" s="49" t="s">
        <v>202</v>
      </c>
      <c r="C260" s="55" t="s">
        <v>111</v>
      </c>
      <c r="D260" s="50">
        <v>10</v>
      </c>
      <c r="E260" s="54">
        <v>0.08</v>
      </c>
      <c r="F260" s="54">
        <v>7.25</v>
      </c>
      <c r="G260" s="54">
        <v>0.13</v>
      </c>
      <c r="H260" s="54">
        <v>66.09</v>
      </c>
      <c r="I260" s="54">
        <v>1E-3</v>
      </c>
      <c r="J260" s="54">
        <v>0</v>
      </c>
      <c r="K260" s="54">
        <v>0.04</v>
      </c>
      <c r="L260" s="54">
        <v>0.1</v>
      </c>
      <c r="M260" s="54">
        <v>2.4</v>
      </c>
      <c r="N260" s="54">
        <v>3</v>
      </c>
      <c r="O260" s="54">
        <v>0</v>
      </c>
      <c r="P260" s="54">
        <v>0.02</v>
      </c>
    </row>
    <row r="261" spans="1:16" ht="15.6" customHeight="1">
      <c r="B261" s="49"/>
      <c r="C261" s="55" t="s">
        <v>18</v>
      </c>
      <c r="D261" s="50"/>
      <c r="E261" s="227">
        <f>SUM(E257:E260)</f>
        <v>21.199999999999996</v>
      </c>
      <c r="F261" s="227">
        <f t="shared" ref="F261:P261" si="35">SUM(F257:F260)</f>
        <v>18.594999999999999</v>
      </c>
      <c r="G261" s="227">
        <f t="shared" si="35"/>
        <v>90.784999999999997</v>
      </c>
      <c r="H261" s="227">
        <f t="shared" si="35"/>
        <v>615.29499999999996</v>
      </c>
      <c r="I261" s="227">
        <f t="shared" si="35"/>
        <v>0.28150000000000003</v>
      </c>
      <c r="J261" s="227">
        <f t="shared" si="35"/>
        <v>2</v>
      </c>
      <c r="K261" s="227">
        <f t="shared" si="35"/>
        <v>0.1</v>
      </c>
      <c r="L261" s="227">
        <f t="shared" si="35"/>
        <v>1.55</v>
      </c>
      <c r="M261" s="227">
        <f t="shared" si="35"/>
        <v>178.7</v>
      </c>
      <c r="N261" s="227">
        <f t="shared" si="35"/>
        <v>103.7</v>
      </c>
      <c r="O261" s="227">
        <f t="shared" si="35"/>
        <v>207.20000000000002</v>
      </c>
      <c r="P261" s="227">
        <f t="shared" si="35"/>
        <v>2.125</v>
      </c>
    </row>
    <row r="262" spans="1:16" ht="14.45" customHeight="1">
      <c r="A262" s="40">
        <v>10</v>
      </c>
      <c r="B262" s="255" t="s">
        <v>19</v>
      </c>
      <c r="C262" s="255"/>
      <c r="D262" s="255"/>
      <c r="E262" s="255"/>
      <c r="F262" s="255"/>
      <c r="G262" s="255"/>
      <c r="H262" s="255"/>
      <c r="I262" s="255"/>
      <c r="J262" s="255"/>
      <c r="K262" s="255"/>
      <c r="L262" s="255"/>
      <c r="M262" s="255"/>
      <c r="N262" s="255"/>
      <c r="O262" s="255"/>
      <c r="P262" s="255"/>
    </row>
    <row r="263" spans="1:16" ht="18" customHeight="1">
      <c r="A263" s="40">
        <v>10</v>
      </c>
      <c r="B263" s="125" t="s">
        <v>278</v>
      </c>
      <c r="C263" s="55" t="s">
        <v>277</v>
      </c>
      <c r="D263" s="50">
        <v>100</v>
      </c>
      <c r="E263" s="41">
        <v>1.6</v>
      </c>
      <c r="F263" s="41">
        <v>5.5</v>
      </c>
      <c r="G263" s="41">
        <v>5.5</v>
      </c>
      <c r="H263" s="41">
        <v>77.900000000000006</v>
      </c>
      <c r="I263" s="41">
        <v>0</v>
      </c>
      <c r="J263" s="41">
        <v>35.799999999999997</v>
      </c>
      <c r="K263" s="41">
        <v>0</v>
      </c>
      <c r="L263" s="41">
        <v>4.5</v>
      </c>
      <c r="M263" s="41">
        <v>48.3</v>
      </c>
      <c r="N263" s="41">
        <v>40</v>
      </c>
      <c r="O263" s="41">
        <v>23</v>
      </c>
      <c r="P263" s="41">
        <v>0.8</v>
      </c>
    </row>
    <row r="264" spans="1:16" ht="28.9" customHeight="1">
      <c r="B264" s="125" t="s">
        <v>280</v>
      </c>
      <c r="C264" s="55" t="s">
        <v>279</v>
      </c>
      <c r="D264" s="50">
        <v>250</v>
      </c>
      <c r="E264" s="41">
        <v>7.2249999999999996</v>
      </c>
      <c r="F264" s="41">
        <v>5.9249999999999998</v>
      </c>
      <c r="G264" s="41">
        <v>11.05</v>
      </c>
      <c r="H264" s="41">
        <v>126.425</v>
      </c>
      <c r="I264" s="41">
        <v>0.25</v>
      </c>
      <c r="J264" s="41">
        <v>16</v>
      </c>
      <c r="K264" s="41">
        <v>0</v>
      </c>
      <c r="L264" s="41">
        <v>0.75</v>
      </c>
      <c r="M264" s="41">
        <v>51</v>
      </c>
      <c r="N264" s="41">
        <v>208.75</v>
      </c>
      <c r="O264" s="41">
        <v>57.5</v>
      </c>
      <c r="P264" s="41">
        <v>4</v>
      </c>
    </row>
    <row r="265" spans="1:16" ht="16.149999999999999" customHeight="1">
      <c r="A265" s="40">
        <v>10</v>
      </c>
      <c r="B265" s="125" t="s">
        <v>161</v>
      </c>
      <c r="C265" s="55" t="s">
        <v>281</v>
      </c>
      <c r="D265" s="50" t="s">
        <v>282</v>
      </c>
      <c r="E265" s="41">
        <v>18.600000000000001</v>
      </c>
      <c r="F265" s="41">
        <v>7.7</v>
      </c>
      <c r="G265" s="41">
        <v>3.9</v>
      </c>
      <c r="H265" s="41">
        <v>159.29999999999998</v>
      </c>
      <c r="I265" s="41">
        <v>0.2</v>
      </c>
      <c r="J265" s="41">
        <v>8.1</v>
      </c>
      <c r="K265" s="41">
        <v>0</v>
      </c>
      <c r="L265" s="41">
        <v>2.7</v>
      </c>
      <c r="M265" s="41">
        <v>91.7</v>
      </c>
      <c r="N265" s="41">
        <v>394.2</v>
      </c>
      <c r="O265" s="41">
        <v>111.7</v>
      </c>
      <c r="P265" s="41">
        <v>1.8</v>
      </c>
    </row>
    <row r="266" spans="1:16" ht="16.149999999999999" customHeight="1">
      <c r="B266" s="125" t="s">
        <v>58</v>
      </c>
      <c r="C266" s="55" t="s">
        <v>51</v>
      </c>
      <c r="D266" s="50">
        <v>180</v>
      </c>
      <c r="E266" s="41">
        <v>3.6719999999999997</v>
      </c>
      <c r="F266" s="41">
        <v>5.76</v>
      </c>
      <c r="G266" s="41">
        <v>24.534000000000002</v>
      </c>
      <c r="H266" s="41">
        <v>164.66400000000002</v>
      </c>
      <c r="I266" s="41">
        <v>0.16200000000000001</v>
      </c>
      <c r="J266" s="41">
        <v>21.797999999999998</v>
      </c>
      <c r="K266" s="41">
        <v>3.6000000000000004E-2</v>
      </c>
      <c r="L266" s="41">
        <v>0.21599999999999997</v>
      </c>
      <c r="M266" s="41">
        <v>44.37</v>
      </c>
      <c r="N266" s="41">
        <v>103.914</v>
      </c>
      <c r="O266" s="41">
        <v>33.299999999999997</v>
      </c>
      <c r="P266" s="41">
        <v>1.2060000000000002</v>
      </c>
    </row>
    <row r="267" spans="1:16" ht="16.899999999999999" customHeight="1">
      <c r="A267" s="40">
        <v>10</v>
      </c>
      <c r="B267" s="125" t="s">
        <v>149</v>
      </c>
      <c r="C267" s="55" t="s">
        <v>55</v>
      </c>
      <c r="D267" s="50">
        <v>200</v>
      </c>
      <c r="E267" s="41">
        <v>0.28000000000000003</v>
      </c>
      <c r="F267" s="41">
        <v>0.1</v>
      </c>
      <c r="G267" s="41">
        <v>28.88</v>
      </c>
      <c r="H267" s="41">
        <v>117.54</v>
      </c>
      <c r="I267" s="41">
        <v>0</v>
      </c>
      <c r="J267" s="41">
        <v>19.3</v>
      </c>
      <c r="K267" s="41">
        <v>0</v>
      </c>
      <c r="L267" s="41">
        <v>0.16</v>
      </c>
      <c r="M267" s="41">
        <v>13.66</v>
      </c>
      <c r="N267" s="41">
        <v>7.38</v>
      </c>
      <c r="O267" s="41">
        <v>5.78</v>
      </c>
      <c r="P267" s="41">
        <v>0.46800000000000003</v>
      </c>
    </row>
    <row r="268" spans="1:16" ht="16.149999999999999" customHeight="1">
      <c r="B268" s="125" t="s">
        <v>57</v>
      </c>
      <c r="C268" s="55" t="s">
        <v>20</v>
      </c>
      <c r="D268" s="50">
        <v>40</v>
      </c>
      <c r="E268" s="41">
        <v>3.0666666666666664</v>
      </c>
      <c r="F268" s="41">
        <v>0.266666666666667</v>
      </c>
      <c r="G268" s="41">
        <v>19.733333333333334</v>
      </c>
      <c r="H268" s="41">
        <v>93.6</v>
      </c>
      <c r="I268" s="41">
        <v>0</v>
      </c>
      <c r="J268" s="41">
        <v>0</v>
      </c>
      <c r="K268" s="41">
        <v>0</v>
      </c>
      <c r="L268" s="41">
        <v>0.4</v>
      </c>
      <c r="M268" s="41">
        <v>8</v>
      </c>
      <c r="N268" s="41">
        <v>26</v>
      </c>
      <c r="O268" s="41">
        <v>5.6000000000000014</v>
      </c>
      <c r="P268" s="41">
        <v>0.4</v>
      </c>
    </row>
    <row r="269" spans="1:16" ht="16.149999999999999" customHeight="1">
      <c r="B269" s="125" t="s">
        <v>150</v>
      </c>
      <c r="C269" s="55" t="s">
        <v>21</v>
      </c>
      <c r="D269" s="50">
        <v>50</v>
      </c>
      <c r="E269" s="41">
        <v>3.25</v>
      </c>
      <c r="F269" s="41">
        <v>0.625</v>
      </c>
      <c r="G269" s="41">
        <v>19.75</v>
      </c>
      <c r="H269" s="41">
        <v>97.625</v>
      </c>
      <c r="I269" s="41">
        <v>0.125</v>
      </c>
      <c r="J269" s="41">
        <v>0</v>
      </c>
      <c r="K269" s="41">
        <v>0</v>
      </c>
      <c r="L269" s="41">
        <v>0.75</v>
      </c>
      <c r="M269" s="41">
        <v>14.499999999999998</v>
      </c>
      <c r="N269" s="41">
        <v>75</v>
      </c>
      <c r="O269" s="41">
        <v>23.5</v>
      </c>
      <c r="P269" s="41">
        <v>2</v>
      </c>
    </row>
    <row r="270" spans="1:16" ht="16.149999999999999" customHeight="1">
      <c r="B270" s="230"/>
      <c r="C270" s="55" t="s">
        <v>216</v>
      </c>
      <c r="D270" s="50">
        <v>150</v>
      </c>
      <c r="E270" s="41">
        <v>0.6</v>
      </c>
      <c r="F270" s="41">
        <v>0.6</v>
      </c>
      <c r="G270" s="41">
        <v>14.7</v>
      </c>
      <c r="H270" s="41">
        <v>66.600000000000009</v>
      </c>
      <c r="I270" s="41">
        <v>4.4999999999999998E-2</v>
      </c>
      <c r="J270" s="41">
        <v>15</v>
      </c>
      <c r="K270" s="41">
        <v>0</v>
      </c>
      <c r="L270" s="41">
        <v>0.3</v>
      </c>
      <c r="M270" s="41">
        <v>24</v>
      </c>
      <c r="N270" s="41">
        <v>16.5</v>
      </c>
      <c r="O270" s="41">
        <v>13.5</v>
      </c>
      <c r="P270" s="41">
        <v>3.3</v>
      </c>
    </row>
    <row r="271" spans="1:16" ht="14.45" customHeight="1">
      <c r="A271" s="40">
        <v>10</v>
      </c>
      <c r="B271" s="125"/>
      <c r="C271" s="125" t="s">
        <v>18</v>
      </c>
      <c r="D271" s="50"/>
      <c r="E271" s="125">
        <f>SUM(E263:E270)</f>
        <v>38.293666666666674</v>
      </c>
      <c r="F271" s="244">
        <f t="shared" ref="F271:P271" si="36">SUM(F263:F270)</f>
        <v>26.476666666666667</v>
      </c>
      <c r="G271" s="244">
        <f t="shared" si="36"/>
        <v>128.04733333333334</v>
      </c>
      <c r="H271" s="244">
        <f t="shared" si="36"/>
        <v>903.654</v>
      </c>
      <c r="I271" s="244">
        <f t="shared" si="36"/>
        <v>0.78200000000000003</v>
      </c>
      <c r="J271" s="244">
        <f t="shared" si="36"/>
        <v>115.99799999999999</v>
      </c>
      <c r="K271" s="244">
        <f t="shared" si="36"/>
        <v>3.6000000000000004E-2</v>
      </c>
      <c r="L271" s="244">
        <f t="shared" si="36"/>
        <v>9.7760000000000016</v>
      </c>
      <c r="M271" s="244">
        <f t="shared" si="36"/>
        <v>295.52999999999997</v>
      </c>
      <c r="N271" s="244">
        <f t="shared" si="36"/>
        <v>871.74400000000003</v>
      </c>
      <c r="O271" s="244">
        <f t="shared" si="36"/>
        <v>273.88</v>
      </c>
      <c r="P271" s="244">
        <f t="shared" si="36"/>
        <v>13.974</v>
      </c>
    </row>
    <row r="272" spans="1:16" ht="14.45" customHeight="1">
      <c r="A272" s="40">
        <v>10</v>
      </c>
      <c r="B272" s="255" t="s">
        <v>22</v>
      </c>
      <c r="C272" s="255"/>
      <c r="D272" s="255"/>
      <c r="E272" s="255"/>
      <c r="F272" s="255"/>
      <c r="G272" s="255"/>
      <c r="H272" s="255"/>
      <c r="I272" s="255"/>
      <c r="J272" s="255"/>
      <c r="K272" s="255"/>
      <c r="L272" s="255"/>
      <c r="M272" s="255"/>
      <c r="N272" s="255"/>
      <c r="O272" s="255"/>
      <c r="P272" s="255"/>
    </row>
    <row r="273" spans="1:16" ht="18" customHeight="1">
      <c r="B273" s="125" t="s">
        <v>156</v>
      </c>
      <c r="C273" s="55" t="s">
        <v>171</v>
      </c>
      <c r="D273" s="50">
        <v>100</v>
      </c>
      <c r="E273" s="41">
        <v>12.86</v>
      </c>
      <c r="F273" s="41">
        <v>12.88</v>
      </c>
      <c r="G273" s="41">
        <v>16.38</v>
      </c>
      <c r="H273" s="41">
        <v>232.88</v>
      </c>
      <c r="I273" s="41">
        <v>7.0000000000000007E-2</v>
      </c>
      <c r="J273" s="41">
        <v>3</v>
      </c>
      <c r="K273" s="41">
        <v>82.5</v>
      </c>
      <c r="L273" s="41">
        <v>0.81</v>
      </c>
      <c r="M273" s="41">
        <v>236.94</v>
      </c>
      <c r="N273" s="41">
        <v>192.1</v>
      </c>
      <c r="O273" s="41">
        <v>21.05</v>
      </c>
      <c r="P273" s="41">
        <v>1.2</v>
      </c>
    </row>
    <row r="274" spans="1:16" ht="17.45" customHeight="1">
      <c r="A274" s="40">
        <v>10</v>
      </c>
      <c r="B274" s="125" t="s">
        <v>149</v>
      </c>
      <c r="C274" s="55" t="s">
        <v>55</v>
      </c>
      <c r="D274" s="50">
        <v>200</v>
      </c>
      <c r="E274" s="41">
        <v>0.28000000000000003</v>
      </c>
      <c r="F274" s="41">
        <v>0.1</v>
      </c>
      <c r="G274" s="41">
        <v>28.88</v>
      </c>
      <c r="H274" s="41">
        <v>117.54</v>
      </c>
      <c r="I274" s="41">
        <v>0</v>
      </c>
      <c r="J274" s="41">
        <v>19.3</v>
      </c>
      <c r="K274" s="41">
        <v>0</v>
      </c>
      <c r="L274" s="41">
        <v>0.16</v>
      </c>
      <c r="M274" s="41">
        <v>13.66</v>
      </c>
      <c r="N274" s="41">
        <v>7.38</v>
      </c>
      <c r="O274" s="41">
        <v>5.78</v>
      </c>
      <c r="P274" s="41">
        <v>0.46800000000000003</v>
      </c>
    </row>
    <row r="275" spans="1:16" ht="14.45" customHeight="1">
      <c r="A275" s="40">
        <v>10</v>
      </c>
      <c r="B275" s="125"/>
      <c r="C275" s="125" t="s">
        <v>18</v>
      </c>
      <c r="D275" s="50"/>
      <c r="E275" s="125">
        <f>SUM(E273:E274)</f>
        <v>13.139999999999999</v>
      </c>
      <c r="F275" s="244">
        <f t="shared" ref="F275:P275" si="37">SUM(F273:F274)</f>
        <v>12.98</v>
      </c>
      <c r="G275" s="244">
        <f t="shared" si="37"/>
        <v>45.26</v>
      </c>
      <c r="H275" s="244">
        <f t="shared" si="37"/>
        <v>350.42</v>
      </c>
      <c r="I275" s="244">
        <f t="shared" si="37"/>
        <v>7.0000000000000007E-2</v>
      </c>
      <c r="J275" s="244">
        <f t="shared" si="37"/>
        <v>22.3</v>
      </c>
      <c r="K275" s="244">
        <f t="shared" si="37"/>
        <v>82.5</v>
      </c>
      <c r="L275" s="244">
        <f t="shared" si="37"/>
        <v>0.97000000000000008</v>
      </c>
      <c r="M275" s="244">
        <f t="shared" si="37"/>
        <v>250.6</v>
      </c>
      <c r="N275" s="244">
        <f t="shared" si="37"/>
        <v>199.48</v>
      </c>
      <c r="O275" s="244">
        <f t="shared" si="37"/>
        <v>26.830000000000002</v>
      </c>
      <c r="P275" s="244">
        <f t="shared" si="37"/>
        <v>1.6679999999999999</v>
      </c>
    </row>
    <row r="276" spans="1:16" ht="16.149999999999999" customHeight="1">
      <c r="A276" s="40">
        <v>10</v>
      </c>
      <c r="B276" s="125"/>
      <c r="C276" s="125" t="s">
        <v>34</v>
      </c>
      <c r="D276" s="50"/>
      <c r="E276" s="125">
        <f>SUM(E261+E271+E275)</f>
        <v>72.63366666666667</v>
      </c>
      <c r="F276" s="244">
        <f t="shared" ref="F276:P276" si="38">SUM(F261+F271+F275)</f>
        <v>58.051666666666662</v>
      </c>
      <c r="G276" s="244">
        <f t="shared" si="38"/>
        <v>264.09233333333333</v>
      </c>
      <c r="H276" s="244">
        <f t="shared" si="38"/>
        <v>1869.3690000000001</v>
      </c>
      <c r="I276" s="244">
        <f t="shared" si="38"/>
        <v>1.1335000000000002</v>
      </c>
      <c r="J276" s="244">
        <f t="shared" si="38"/>
        <v>140.298</v>
      </c>
      <c r="K276" s="244">
        <f t="shared" si="38"/>
        <v>82.635999999999996</v>
      </c>
      <c r="L276" s="244">
        <f t="shared" si="38"/>
        <v>12.296000000000003</v>
      </c>
      <c r="M276" s="244">
        <f t="shared" si="38"/>
        <v>724.82999999999993</v>
      </c>
      <c r="N276" s="244">
        <f t="shared" si="38"/>
        <v>1174.924</v>
      </c>
      <c r="O276" s="244">
        <f t="shared" si="38"/>
        <v>507.91</v>
      </c>
      <c r="P276" s="244">
        <f t="shared" si="38"/>
        <v>17.766999999999999</v>
      </c>
    </row>
    <row r="277" spans="1:16">
      <c r="B277" s="210"/>
      <c r="C277" s="210"/>
      <c r="D277" s="239"/>
      <c r="E277" s="210"/>
      <c r="F277" s="210"/>
      <c r="G277" s="210"/>
      <c r="H277" s="210"/>
      <c r="I277" s="210"/>
      <c r="J277" s="210"/>
      <c r="K277" s="210"/>
      <c r="L277" s="210"/>
      <c r="M277" s="210"/>
      <c r="N277" s="210"/>
      <c r="O277" s="210"/>
      <c r="P277" s="210"/>
    </row>
    <row r="278" spans="1:16">
      <c r="B278" s="210"/>
      <c r="C278" s="210"/>
      <c r="D278" s="239"/>
      <c r="E278" s="210"/>
      <c r="F278" s="210"/>
      <c r="G278" s="210"/>
      <c r="H278" s="210"/>
      <c r="I278" s="210"/>
      <c r="J278" s="210"/>
      <c r="K278" s="210"/>
      <c r="L278" s="210"/>
      <c r="M278" s="210"/>
      <c r="N278" s="210"/>
      <c r="O278" s="210"/>
      <c r="P278" s="210"/>
    </row>
    <row r="279" spans="1:16">
      <c r="B279" s="210"/>
      <c r="C279" s="210"/>
      <c r="D279" s="239"/>
      <c r="E279" s="210"/>
      <c r="F279" s="210"/>
      <c r="G279" s="210"/>
      <c r="H279" s="210"/>
      <c r="I279" s="210"/>
      <c r="J279" s="210"/>
      <c r="K279" s="210"/>
      <c r="L279" s="210"/>
      <c r="M279" s="210"/>
      <c r="N279" s="210"/>
      <c r="O279" s="210"/>
      <c r="P279" s="210"/>
    </row>
    <row r="280" spans="1:16">
      <c r="B280" s="210"/>
      <c r="C280" s="210"/>
      <c r="D280" s="239"/>
      <c r="E280" s="210"/>
      <c r="F280" s="210"/>
      <c r="G280" s="210"/>
      <c r="H280" s="210"/>
      <c r="I280" s="210"/>
      <c r="J280" s="210"/>
      <c r="K280" s="210"/>
      <c r="L280" s="210"/>
      <c r="M280" s="210"/>
      <c r="N280" s="210"/>
      <c r="O280" s="210"/>
      <c r="P280" s="210"/>
    </row>
  </sheetData>
  <mergeCells count="100">
    <mergeCell ref="B256:P256"/>
    <mergeCell ref="B262:P262"/>
    <mergeCell ref="B201:B202"/>
    <mergeCell ref="C201:C202"/>
    <mergeCell ref="D201:D202"/>
    <mergeCell ref="E201:G201"/>
    <mergeCell ref="H201:H202"/>
    <mergeCell ref="I201:L201"/>
    <mergeCell ref="M201:P201"/>
    <mergeCell ref="B226:B227"/>
    <mergeCell ref="C226:C227"/>
    <mergeCell ref="D226:D227"/>
    <mergeCell ref="E226:G226"/>
    <mergeCell ref="H226:H227"/>
    <mergeCell ref="I226:L226"/>
    <mergeCell ref="M226:P226"/>
    <mergeCell ref="B272:P272"/>
    <mergeCell ref="B228:P228"/>
    <mergeCell ref="B124:P124"/>
    <mergeCell ref="B133:P133"/>
    <mergeCell ref="B146:P146"/>
    <mergeCell ref="B152:P152"/>
    <mergeCell ref="B161:P161"/>
    <mergeCell ref="B173:P173"/>
    <mergeCell ref="B181:P181"/>
    <mergeCell ref="B190:P190"/>
    <mergeCell ref="B203:P203"/>
    <mergeCell ref="B208:P208"/>
    <mergeCell ref="B218:P218"/>
    <mergeCell ref="B144:B145"/>
    <mergeCell ref="C144:C145"/>
    <mergeCell ref="D144:D145"/>
    <mergeCell ref="B118:P118"/>
    <mergeCell ref="B61:P61"/>
    <mergeCell ref="B50:P50"/>
    <mergeCell ref="B40:P40"/>
    <mergeCell ref="B32:P32"/>
    <mergeCell ref="B68:P68"/>
    <mergeCell ref="B77:P77"/>
    <mergeCell ref="B89:P89"/>
    <mergeCell ref="B94:P94"/>
    <mergeCell ref="B104:P104"/>
    <mergeCell ref="B87:B88"/>
    <mergeCell ref="C87:C88"/>
    <mergeCell ref="D87:D88"/>
    <mergeCell ref="E87:G87"/>
    <mergeCell ref="H87:H88"/>
    <mergeCell ref="I87:L87"/>
    <mergeCell ref="M4:P4"/>
    <mergeCell ref="B6:P6"/>
    <mergeCell ref="B13:P13"/>
    <mergeCell ref="B21:P21"/>
    <mergeCell ref="B4:B5"/>
    <mergeCell ref="C4:C5"/>
    <mergeCell ref="D4:D5"/>
    <mergeCell ref="E4:G4"/>
    <mergeCell ref="H4:H5"/>
    <mergeCell ref="I4:L4"/>
    <mergeCell ref="I30:L30"/>
    <mergeCell ref="M30:P30"/>
    <mergeCell ref="B59:B60"/>
    <mergeCell ref="C59:C60"/>
    <mergeCell ref="D59:D60"/>
    <mergeCell ref="E59:G59"/>
    <mergeCell ref="H59:H60"/>
    <mergeCell ref="I59:L59"/>
    <mergeCell ref="M59:P59"/>
    <mergeCell ref="B30:B31"/>
    <mergeCell ref="C30:C31"/>
    <mergeCell ref="D30:D31"/>
    <mergeCell ref="E30:G30"/>
    <mergeCell ref="H30:H31"/>
    <mergeCell ref="M87:P87"/>
    <mergeCell ref="B116:B117"/>
    <mergeCell ref="C116:C117"/>
    <mergeCell ref="D116:D117"/>
    <mergeCell ref="E116:G116"/>
    <mergeCell ref="H116:H117"/>
    <mergeCell ref="I116:L116"/>
    <mergeCell ref="M116:P116"/>
    <mergeCell ref="E144:G144"/>
    <mergeCell ref="H144:H145"/>
    <mergeCell ref="I144:L144"/>
    <mergeCell ref="M144:P144"/>
    <mergeCell ref="B171:B172"/>
    <mergeCell ref="C171:C172"/>
    <mergeCell ref="D171:D172"/>
    <mergeCell ref="E171:G171"/>
    <mergeCell ref="H171:H172"/>
    <mergeCell ref="I171:L171"/>
    <mergeCell ref="M171:P171"/>
    <mergeCell ref="B234:P234"/>
    <mergeCell ref="B243:P243"/>
    <mergeCell ref="I254:L254"/>
    <mergeCell ref="M254:P254"/>
    <mergeCell ref="B254:B255"/>
    <mergeCell ref="C254:C255"/>
    <mergeCell ref="D254:D255"/>
    <mergeCell ref="E254:G254"/>
    <mergeCell ref="H254:H255"/>
  </mergeCells>
  <pageMargins left="0.51181102362204722" right="0.51181102362204722" top="0.74803149606299213" bottom="0.35433070866141736" header="0.31496062992125984" footer="0.31496062992125984"/>
  <pageSetup paperSize="9" scale="66" fitToHeight="0" orientation="landscape" r:id="rId1"/>
  <rowBreaks count="8" manualBreakCount="8">
    <brk id="25" max="16383" man="1"/>
    <brk id="54" max="16383" man="1"/>
    <brk id="81" max="16383" man="1"/>
    <brk id="110" max="16383" man="1"/>
    <brk id="138" max="16383" man="1"/>
    <brk id="166" max="16383" man="1"/>
    <brk id="195" max="16383" man="1"/>
    <brk id="24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2:T15"/>
  <sheetViews>
    <sheetView workbookViewId="0">
      <selection activeCell="E19" sqref="E19"/>
    </sheetView>
  </sheetViews>
  <sheetFormatPr defaultColWidth="9.140625" defaultRowHeight="15"/>
  <cols>
    <col min="1" max="1" width="9.140625" style="1"/>
    <col min="2" max="2" width="9.28515625" style="1" bestFit="1" customWidth="1"/>
    <col min="3" max="3" width="13.28515625" style="1" bestFit="1" customWidth="1"/>
    <col min="4" max="5" width="9.28515625" style="1" bestFit="1" customWidth="1"/>
    <col min="6" max="6" width="12.7109375" style="1" customWidth="1"/>
    <col min="7" max="14" width="9.28515625" style="1" bestFit="1" customWidth="1"/>
    <col min="15" max="15" width="9.140625" style="1"/>
    <col min="16" max="16" width="32.42578125" style="1" hidden="1" customWidth="1"/>
    <col min="17" max="20" width="9.28515625" style="1" hidden="1" customWidth="1"/>
    <col min="21" max="16384" width="9.140625" style="1"/>
  </cols>
  <sheetData>
    <row r="2" spans="2:20" ht="40.5" customHeight="1" thickBot="1">
      <c r="B2" s="261" t="s">
        <v>39</v>
      </c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</row>
    <row r="3" spans="2:20" ht="75" customHeight="1" thickBot="1">
      <c r="B3" s="20" t="s">
        <v>35</v>
      </c>
      <c r="C3" s="268" t="s">
        <v>3</v>
      </c>
      <c r="D3" s="268"/>
      <c r="E3" s="268"/>
      <c r="F3" s="268" t="s">
        <v>36</v>
      </c>
      <c r="G3" s="268" t="s">
        <v>5</v>
      </c>
      <c r="H3" s="268"/>
      <c r="I3" s="268"/>
      <c r="J3" s="268"/>
      <c r="K3" s="268" t="s">
        <v>6</v>
      </c>
      <c r="L3" s="268"/>
      <c r="M3" s="268"/>
      <c r="N3" s="268"/>
      <c r="P3" s="265" t="s">
        <v>42</v>
      </c>
      <c r="Q3" s="262" t="s">
        <v>3</v>
      </c>
      <c r="R3" s="263"/>
      <c r="S3" s="264"/>
      <c r="T3" s="2" t="s">
        <v>40</v>
      </c>
    </row>
    <row r="4" spans="2:20" ht="19.5" customHeight="1" thickBot="1">
      <c r="B4" s="21"/>
      <c r="C4" s="20" t="s">
        <v>7</v>
      </c>
      <c r="D4" s="20" t="s">
        <v>8</v>
      </c>
      <c r="E4" s="20" t="s">
        <v>9</v>
      </c>
      <c r="F4" s="268"/>
      <c r="G4" s="20" t="s">
        <v>37</v>
      </c>
      <c r="H4" s="20" t="s">
        <v>10</v>
      </c>
      <c r="I4" s="20" t="s">
        <v>11</v>
      </c>
      <c r="J4" s="20" t="s">
        <v>12</v>
      </c>
      <c r="K4" s="20" t="s">
        <v>13</v>
      </c>
      <c r="L4" s="20" t="s">
        <v>14</v>
      </c>
      <c r="M4" s="20" t="s">
        <v>15</v>
      </c>
      <c r="N4" s="20" t="s">
        <v>16</v>
      </c>
      <c r="P4" s="266"/>
      <c r="Q4" s="3" t="s">
        <v>7</v>
      </c>
      <c r="R4" s="3" t="s">
        <v>8</v>
      </c>
      <c r="S4" s="3" t="s">
        <v>9</v>
      </c>
      <c r="T4" s="4" t="s">
        <v>41</v>
      </c>
    </row>
    <row r="5" spans="2:20" ht="16.5" customHeight="1" thickBot="1">
      <c r="B5" s="22">
        <v>1</v>
      </c>
      <c r="C5" s="23">
        <f>'на выход'!E25</f>
        <v>56.055715447154469</v>
      </c>
      <c r="D5" s="23">
        <f>'на выход'!F25</f>
        <v>65.647666666666666</v>
      </c>
      <c r="E5" s="23">
        <f>'на выход'!G25</f>
        <v>247.20223103241347</v>
      </c>
      <c r="F5" s="23">
        <f>'на выход'!H25</f>
        <v>1821.7566639670522</v>
      </c>
      <c r="G5" s="23">
        <f>'на выход'!I25</f>
        <v>1.2139236824582604</v>
      </c>
      <c r="H5" s="23">
        <f>'на выход'!J25</f>
        <v>70.091011640237738</v>
      </c>
      <c r="I5" s="23">
        <f>'на выход'!K25</f>
        <v>84.756742144072604</v>
      </c>
      <c r="J5" s="23">
        <f>'на выход'!L25</f>
        <v>14.450319919110216</v>
      </c>
      <c r="K5" s="23">
        <f>'на выход'!M25</f>
        <v>601.56131323583804</v>
      </c>
      <c r="L5" s="23">
        <f>'на выход'!N25</f>
        <v>795.78873191447394</v>
      </c>
      <c r="M5" s="23">
        <f>'на выход'!O25</f>
        <v>349.76839356827548</v>
      </c>
      <c r="N5" s="23">
        <f>'на выход'!P25</f>
        <v>13.314121344546106</v>
      </c>
      <c r="P5" s="267"/>
      <c r="Q5" s="5" t="s">
        <v>43</v>
      </c>
      <c r="R5" s="5" t="s">
        <v>44</v>
      </c>
      <c r="S5" s="5" t="s">
        <v>45</v>
      </c>
      <c r="T5" s="6" t="s">
        <v>46</v>
      </c>
    </row>
    <row r="6" spans="2:20" ht="16.5" customHeight="1" thickBot="1">
      <c r="B6" s="22">
        <v>2</v>
      </c>
      <c r="C6" s="23">
        <f>'на выход'!E54</f>
        <v>74.733148148148146</v>
      </c>
      <c r="D6" s="23">
        <f>'на выход'!F54</f>
        <v>83.451703703703714</v>
      </c>
      <c r="E6" s="23">
        <f>'на выход'!G54</f>
        <v>259.85166666666669</v>
      </c>
      <c r="F6" s="23">
        <f>'на выход'!H54</f>
        <v>2089.3845925925925</v>
      </c>
      <c r="G6" s="23">
        <f>'на выход'!I54</f>
        <v>1.8885185185185185</v>
      </c>
      <c r="H6" s="23">
        <f>'на выход'!J54</f>
        <v>42.909555555555556</v>
      </c>
      <c r="I6" s="23">
        <f>'на выход'!K54</f>
        <v>15.961333333333332</v>
      </c>
      <c r="J6" s="23">
        <f>'на выход'!L54</f>
        <v>18.34796296296296</v>
      </c>
      <c r="K6" s="23">
        <f>'на выход'!M54</f>
        <v>616.48192592592591</v>
      </c>
      <c r="L6" s="23">
        <f>'на выход'!N54</f>
        <v>1135.259703703704</v>
      </c>
      <c r="M6" s="23">
        <f>'на выход'!O54</f>
        <v>460.94322222222229</v>
      </c>
      <c r="N6" s="23">
        <f>'на выход'!P54</f>
        <v>24.282296296296295</v>
      </c>
      <c r="P6" s="7" t="s">
        <v>47</v>
      </c>
      <c r="Q6" s="8">
        <v>622.90807421801333</v>
      </c>
      <c r="R6" s="8">
        <v>636.98547110297102</v>
      </c>
      <c r="S6" s="8">
        <v>2596.9842960942483</v>
      </c>
      <c r="T6" s="8">
        <v>18705.610884938847</v>
      </c>
    </row>
    <row r="7" spans="2:20" ht="16.5" customHeight="1" thickBot="1">
      <c r="B7" s="22">
        <v>3</v>
      </c>
      <c r="C7" s="23">
        <f>'на выход'!E81</f>
        <v>51.181358974358979</v>
      </c>
      <c r="D7" s="23">
        <f>'на выход'!F81</f>
        <v>57.084743589743582</v>
      </c>
      <c r="E7" s="23">
        <f>'на выход'!G81</f>
        <v>234.45733333333334</v>
      </c>
      <c r="F7" s="23">
        <f>'на выход'!H81</f>
        <v>1656.3074615384617</v>
      </c>
      <c r="G7" s="23">
        <f>'на выход'!I81</f>
        <v>0.8379821763602251</v>
      </c>
      <c r="H7" s="23">
        <f>'на выход'!J81</f>
        <v>57.382407129455906</v>
      </c>
      <c r="I7" s="23">
        <f>'на выход'!K81</f>
        <v>20.4656904315197</v>
      </c>
      <c r="J7" s="23">
        <f>'на выход'!L81</f>
        <v>8.3005309568480303</v>
      </c>
      <c r="K7" s="23">
        <f>'на выход'!M81</f>
        <v>606.78386866791732</v>
      </c>
      <c r="L7" s="23">
        <f>'на выход'!N81</f>
        <v>826.53218574108826</v>
      </c>
      <c r="M7" s="23">
        <f>'на выход'!O81</f>
        <v>345.16925140712942</v>
      </c>
      <c r="N7" s="23">
        <f>'на выход'!P81</f>
        <v>13.262270168855535</v>
      </c>
      <c r="P7" s="7" t="s">
        <v>48</v>
      </c>
      <c r="Q7" s="8">
        <v>62.290807421801333</v>
      </c>
      <c r="R7" s="8">
        <v>63.698547110297099</v>
      </c>
      <c r="S7" s="8">
        <v>259.69842960942481</v>
      </c>
      <c r="T7" s="8">
        <v>1870.5610884938847</v>
      </c>
    </row>
    <row r="8" spans="2:20" ht="16.5" customHeight="1">
      <c r="B8" s="22">
        <v>4</v>
      </c>
      <c r="C8" s="23">
        <f>'на выход'!E110</f>
        <v>63.418333333333329</v>
      </c>
      <c r="D8" s="23">
        <f>'на выход'!F110</f>
        <v>60.143333333333338</v>
      </c>
      <c r="E8" s="23">
        <f>'на выход'!G110</f>
        <v>249.30966666666666</v>
      </c>
      <c r="F8" s="23">
        <f>'на выход'!H110</f>
        <v>1792.2019999999998</v>
      </c>
      <c r="G8" s="23">
        <f>'на выход'!I110</f>
        <v>0.47267500000000001</v>
      </c>
      <c r="H8" s="23">
        <f>'на выход'!J110</f>
        <v>49.256250000000001</v>
      </c>
      <c r="I8" s="23">
        <f>'на выход'!K110</f>
        <v>44.785125000000001</v>
      </c>
      <c r="J8" s="23">
        <f>'на выход'!L110</f>
        <v>12.064624999999999</v>
      </c>
      <c r="K8" s="23">
        <f>'на выход'!M110</f>
        <v>424.79</v>
      </c>
      <c r="L8" s="23">
        <f>'на выход'!N110</f>
        <v>664.59849999999994</v>
      </c>
      <c r="M8" s="23">
        <f>'на выход'!O110</f>
        <v>400.94650000000001</v>
      </c>
      <c r="N8" s="23">
        <f>'на выход'!P110</f>
        <v>14.814499999999999</v>
      </c>
    </row>
    <row r="9" spans="2:20" ht="16.5" customHeight="1">
      <c r="B9" s="22">
        <v>5</v>
      </c>
      <c r="C9" s="23">
        <f>'на выход'!E138</f>
        <v>56.52930677655678</v>
      </c>
      <c r="D9" s="23">
        <f>'на выход'!F138</f>
        <v>62.42552380952381</v>
      </c>
      <c r="E9" s="23">
        <f>'на выход'!G138</f>
        <v>285.73900641025642</v>
      </c>
      <c r="F9" s="23">
        <f>'на выход'!H138</f>
        <v>1928.7172527472528</v>
      </c>
      <c r="G9" s="23">
        <f>'на выход'!I138</f>
        <v>0.69925219780219783</v>
      </c>
      <c r="H9" s="23">
        <f>'на выход'!J138</f>
        <v>87.155436263736263</v>
      </c>
      <c r="I9" s="23">
        <f>'на выход'!K138</f>
        <v>12.279648351648353</v>
      </c>
      <c r="J9" s="23">
        <f>'на выход'!L138</f>
        <v>24.406225274725273</v>
      </c>
      <c r="K9" s="23">
        <f>'на выход'!M138</f>
        <v>583.1439230769231</v>
      </c>
      <c r="L9" s="23">
        <f>'на выход'!N138</f>
        <v>625.3373076923076</v>
      </c>
      <c r="M9" s="23">
        <f>'на выход'!O138</f>
        <v>729.74</v>
      </c>
      <c r="N9" s="23">
        <f>'на выход'!P138</f>
        <v>19.441351648351649</v>
      </c>
    </row>
    <row r="10" spans="2:20" ht="16.5" customHeight="1">
      <c r="B10" s="22">
        <v>6</v>
      </c>
      <c r="C10" s="23">
        <f>'на выход'!E166</f>
        <v>50.62166666666667</v>
      </c>
      <c r="D10" s="23">
        <f>'на выход'!F166</f>
        <v>58.131666666666668</v>
      </c>
      <c r="E10" s="23">
        <f>'на выход'!G166</f>
        <v>240.34135658914727</v>
      </c>
      <c r="F10" s="23">
        <f>'на выход'!H166</f>
        <v>1687.0370930232557</v>
      </c>
      <c r="G10" s="23">
        <f>'на выход'!I166</f>
        <v>1.2292558139534886</v>
      </c>
      <c r="H10" s="23">
        <f>'на выход'!J166</f>
        <v>60.587674418604649</v>
      </c>
      <c r="I10" s="23">
        <f>'на выход'!K166</f>
        <v>3.4691860465116284</v>
      </c>
      <c r="J10" s="23">
        <f>'на выход'!L166</f>
        <v>13.383372093023256</v>
      </c>
      <c r="K10" s="23">
        <f>'на выход'!M166</f>
        <v>449.04813953488372</v>
      </c>
      <c r="L10" s="23">
        <f>'на выход'!N166</f>
        <v>725.31953488372096</v>
      </c>
      <c r="M10" s="23">
        <f>'на выход'!O166</f>
        <v>431.38848837209298</v>
      </c>
      <c r="N10" s="23">
        <f>'на выход'!P166</f>
        <v>17.381790697674418</v>
      </c>
    </row>
    <row r="11" spans="2:20" ht="16.5" customHeight="1">
      <c r="B11" s="22">
        <v>7</v>
      </c>
      <c r="C11" s="23">
        <f>'на выход'!E195</f>
        <v>82.101333333333329</v>
      </c>
      <c r="D11" s="23">
        <f>'на выход'!F195</f>
        <v>77.515833333333333</v>
      </c>
      <c r="E11" s="23">
        <f>'на выход'!G195</f>
        <v>218.10266666666666</v>
      </c>
      <c r="F11" s="23">
        <f>'на выход'!H195</f>
        <v>1918.4585000000002</v>
      </c>
      <c r="G11" s="23">
        <f>'на выход'!I195</f>
        <v>0.68549999999999989</v>
      </c>
      <c r="H11" s="23">
        <f>'на выход'!J195</f>
        <v>48.154499999999999</v>
      </c>
      <c r="I11" s="23">
        <f>'на выход'!K195</f>
        <v>18.516500000000001</v>
      </c>
      <c r="J11" s="23">
        <f>'на выход'!L195</f>
        <v>22.361499999999999</v>
      </c>
      <c r="K11" s="23">
        <f>'на выход'!M195</f>
        <v>768.68400000000008</v>
      </c>
      <c r="L11" s="23">
        <f>'на выход'!N195</f>
        <v>1036.451</v>
      </c>
      <c r="M11" s="23">
        <f>'на выход'!O195</f>
        <v>395.495</v>
      </c>
      <c r="N11" s="23">
        <f>'на выход'!P195</f>
        <v>14.948</v>
      </c>
    </row>
    <row r="12" spans="2:20" ht="16.5" customHeight="1">
      <c r="B12" s="22">
        <v>8</v>
      </c>
      <c r="C12" s="23">
        <f>'на выход'!E222</f>
        <v>54.01466666666667</v>
      </c>
      <c r="D12" s="23">
        <f>'на выход'!F222</f>
        <v>53.219666666666669</v>
      </c>
      <c r="E12" s="23">
        <f>'на выход'!G222</f>
        <v>258.31202898550725</v>
      </c>
      <c r="F12" s="23">
        <f>'на выход'!H222</f>
        <v>1748.5457826086956</v>
      </c>
      <c r="G12" s="23">
        <f>'на выход'!I222</f>
        <v>0.61243478260869577</v>
      </c>
      <c r="H12" s="23">
        <f>'на выход'!J222</f>
        <v>36.132347826086956</v>
      </c>
      <c r="I12" s="23">
        <f>'на выход'!K222</f>
        <v>17.940000000000001</v>
      </c>
      <c r="J12" s="23">
        <f>'на выход'!L222</f>
        <v>15.720478260869566</v>
      </c>
      <c r="K12" s="23">
        <f>'на выход'!M222</f>
        <v>356.90695652173918</v>
      </c>
      <c r="L12" s="23">
        <f>'на выход'!N222</f>
        <v>541.11504347826087</v>
      </c>
      <c r="M12" s="23">
        <f>'на выход'!O222</f>
        <v>412.33417391304357</v>
      </c>
      <c r="N12" s="23">
        <f>'на выход'!P222</f>
        <v>47.193086956521739</v>
      </c>
    </row>
    <row r="13" spans="2:20" ht="16.5" customHeight="1">
      <c r="B13" s="22">
        <v>9</v>
      </c>
      <c r="C13" s="23">
        <f>'на выход'!E248</f>
        <v>61.864878205128193</v>
      </c>
      <c r="D13" s="23">
        <f>'на выход'!F248</f>
        <v>64.519666666666666</v>
      </c>
      <c r="E13" s="23">
        <f>'на выход'!G248</f>
        <v>328.45000641025638</v>
      </c>
      <c r="F13" s="23">
        <f>'на выход'!H248</f>
        <v>2141.9365384615385</v>
      </c>
      <c r="G13" s="23">
        <f>'на выход'!I248</f>
        <v>0.73968076923076931</v>
      </c>
      <c r="H13" s="23">
        <f>'на выход'!J248</f>
        <v>26.56400769230769</v>
      </c>
      <c r="I13" s="23">
        <f>'на выход'!K248</f>
        <v>12.459076923076925</v>
      </c>
      <c r="J13" s="23">
        <f>'на выход'!L248</f>
        <v>17.924653846153845</v>
      </c>
      <c r="K13" s="23">
        <f>'на выход'!M248</f>
        <v>542.68592307692302</v>
      </c>
      <c r="L13" s="23">
        <f>'на выход'!N248</f>
        <v>915.75530769230761</v>
      </c>
      <c r="M13" s="23">
        <f>'на выход'!O248</f>
        <v>670.89300000000003</v>
      </c>
      <c r="N13" s="23">
        <v>21.309923076923077</v>
      </c>
    </row>
    <row r="14" spans="2:20" ht="15.75">
      <c r="B14" s="22">
        <v>10</v>
      </c>
      <c r="C14" s="23">
        <f>'на выход'!E276</f>
        <v>72.63366666666667</v>
      </c>
      <c r="D14" s="23">
        <f>'на выход'!F276</f>
        <v>58.051666666666662</v>
      </c>
      <c r="E14" s="23">
        <f>'на выход'!G276</f>
        <v>264.09233333333333</v>
      </c>
      <c r="F14" s="23">
        <f>'на выход'!H276</f>
        <v>1869.3690000000001</v>
      </c>
      <c r="G14" s="23">
        <f>'на выход'!I276</f>
        <v>1.1335000000000002</v>
      </c>
      <c r="H14" s="23">
        <f>'на выход'!J276</f>
        <v>140.298</v>
      </c>
      <c r="I14" s="23">
        <f>'на выход'!K276</f>
        <v>82.635999999999996</v>
      </c>
      <c r="J14" s="23">
        <f>'на выход'!L276</f>
        <v>12.296000000000003</v>
      </c>
      <c r="K14" s="23">
        <f>'на выход'!M276</f>
        <v>724.82999999999993</v>
      </c>
      <c r="L14" s="23">
        <f>'на выход'!N276</f>
        <v>1174.924</v>
      </c>
      <c r="M14" s="23">
        <f>'на выход'!O276</f>
        <v>507.91</v>
      </c>
      <c r="N14" s="23">
        <f>'на выход'!P276</f>
        <v>17.766999999999999</v>
      </c>
    </row>
    <row r="15" spans="2:20" ht="31.5">
      <c r="B15" s="24" t="s">
        <v>38</v>
      </c>
      <c r="C15" s="25">
        <f>SUM(C5:C14)</f>
        <v>623.15407421801319</v>
      </c>
      <c r="D15" s="25">
        <f t="shared" ref="D15:N15" si="0">SUM(D5:D14)</f>
        <v>640.19147110297104</v>
      </c>
      <c r="E15" s="25">
        <f t="shared" si="0"/>
        <v>2585.8582960942476</v>
      </c>
      <c r="F15" s="25">
        <f t="shared" si="0"/>
        <v>18653.714884938847</v>
      </c>
      <c r="G15" s="25">
        <f t="shared" si="0"/>
        <v>9.5127229409321554</v>
      </c>
      <c r="H15" s="25">
        <f t="shared" si="0"/>
        <v>618.53119052598481</v>
      </c>
      <c r="I15" s="25">
        <f t="shared" si="0"/>
        <v>313.26930223016257</v>
      </c>
      <c r="J15" s="25">
        <f t="shared" si="0"/>
        <v>159.25566831369309</v>
      </c>
      <c r="K15" s="25">
        <f t="shared" si="0"/>
        <v>5674.9160500401504</v>
      </c>
      <c r="L15" s="25">
        <f t="shared" si="0"/>
        <v>8441.0813151058646</v>
      </c>
      <c r="M15" s="25">
        <f t="shared" si="0"/>
        <v>4704.5880294827639</v>
      </c>
      <c r="N15" s="25">
        <f t="shared" si="0"/>
        <v>203.71434018916881</v>
      </c>
    </row>
  </sheetData>
  <mergeCells count="7">
    <mergeCell ref="B2:N2"/>
    <mergeCell ref="Q3:S3"/>
    <mergeCell ref="P3:P5"/>
    <mergeCell ref="C3:E3"/>
    <mergeCell ref="F3:F4"/>
    <mergeCell ref="G3:J3"/>
    <mergeCell ref="K3:N3"/>
  </mergeCells>
  <pageMargins left="0.7" right="0.7" top="0.75" bottom="0.75" header="0.3" footer="0.3"/>
  <pageSetup paperSize="9" scale="9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2:L31"/>
  <sheetViews>
    <sheetView workbookViewId="0">
      <selection activeCell="G9" sqref="G9"/>
    </sheetView>
  </sheetViews>
  <sheetFormatPr defaultColWidth="9.140625" defaultRowHeight="15.75"/>
  <cols>
    <col min="1" max="2" width="9.140625" style="11"/>
    <col min="3" max="3" width="54.28515625" style="11" customWidth="1"/>
    <col min="4" max="4" width="16.28515625" style="11" customWidth="1"/>
    <col min="5" max="5" width="23.140625" style="11" customWidth="1"/>
    <col min="6" max="6" width="12.140625" style="11" customWidth="1"/>
    <col min="7" max="7" width="16.85546875" style="11" customWidth="1"/>
    <col min="8" max="8" width="9.140625" style="11"/>
    <col min="9" max="9" width="15.28515625" style="11" customWidth="1"/>
    <col min="10" max="10" width="9.140625" style="11"/>
    <col min="11" max="11" width="13" style="11" customWidth="1"/>
    <col min="12" max="16384" width="9.140625" style="11"/>
  </cols>
  <sheetData>
    <row r="2" spans="2:12" ht="18.75">
      <c r="B2" s="270" t="s">
        <v>59</v>
      </c>
      <c r="C2" s="270"/>
      <c r="D2" s="270"/>
      <c r="E2" s="270"/>
      <c r="F2" s="270"/>
      <c r="G2" s="270"/>
      <c r="H2" s="270"/>
      <c r="I2" s="270"/>
      <c r="J2" s="270"/>
      <c r="K2" s="270"/>
      <c r="L2" s="270"/>
    </row>
    <row r="3" spans="2:12" ht="15" customHeight="1">
      <c r="J3" s="271" t="s">
        <v>60</v>
      </c>
      <c r="K3" s="271"/>
      <c r="L3" s="271"/>
    </row>
    <row r="4" spans="2:12">
      <c r="B4" s="9"/>
    </row>
    <row r="5" spans="2:12" ht="35.25" customHeight="1">
      <c r="B5" s="269" t="s">
        <v>61</v>
      </c>
      <c r="C5" s="269" t="s">
        <v>62</v>
      </c>
      <c r="D5" s="269" t="s">
        <v>63</v>
      </c>
      <c r="E5" s="269" t="s">
        <v>94</v>
      </c>
      <c r="F5" s="269" t="s">
        <v>64</v>
      </c>
      <c r="G5" s="269" t="s">
        <v>93</v>
      </c>
      <c r="H5" s="269" t="s">
        <v>65</v>
      </c>
      <c r="I5" s="269" t="s">
        <v>66</v>
      </c>
      <c r="J5" s="269" t="s">
        <v>65</v>
      </c>
      <c r="K5" s="269" t="s">
        <v>67</v>
      </c>
      <c r="L5" s="269" t="s">
        <v>65</v>
      </c>
    </row>
    <row r="6" spans="2:12" ht="27.75" customHeight="1">
      <c r="B6" s="269"/>
      <c r="C6" s="269"/>
      <c r="D6" s="269"/>
      <c r="E6" s="269"/>
      <c r="F6" s="269"/>
      <c r="G6" s="269"/>
      <c r="H6" s="269"/>
      <c r="I6" s="269"/>
      <c r="J6" s="269"/>
      <c r="K6" s="269"/>
      <c r="L6" s="269"/>
    </row>
    <row r="7" spans="2:12" ht="16.5" customHeight="1">
      <c r="B7" s="34">
        <v>1</v>
      </c>
      <c r="C7" s="35" t="s">
        <v>68</v>
      </c>
      <c r="D7" s="34">
        <v>200</v>
      </c>
      <c r="E7" s="34">
        <v>120</v>
      </c>
      <c r="F7" s="34">
        <v>1200</v>
      </c>
      <c r="G7" s="34">
        <v>1150</v>
      </c>
      <c r="H7" s="34">
        <v>96</v>
      </c>
      <c r="I7" s="34">
        <v>50</v>
      </c>
      <c r="J7" s="34">
        <v>4</v>
      </c>
      <c r="K7" s="34" t="s">
        <v>69</v>
      </c>
      <c r="L7" s="34" t="s">
        <v>69</v>
      </c>
    </row>
    <row r="8" spans="2:12" ht="16.5" customHeight="1">
      <c r="B8" s="34">
        <v>2</v>
      </c>
      <c r="C8" s="35" t="s">
        <v>70</v>
      </c>
      <c r="D8" s="34">
        <v>20</v>
      </c>
      <c r="E8" s="34">
        <v>12</v>
      </c>
      <c r="F8" s="34">
        <v>120</v>
      </c>
      <c r="G8" s="34">
        <v>120</v>
      </c>
      <c r="H8" s="34">
        <v>100</v>
      </c>
      <c r="I8" s="34"/>
      <c r="J8" s="34" t="s">
        <v>69</v>
      </c>
      <c r="K8" s="34" t="s">
        <v>69</v>
      </c>
      <c r="L8" s="34" t="s">
        <v>69</v>
      </c>
    </row>
    <row r="9" spans="2:12" ht="16.5" customHeight="1">
      <c r="B9" s="34">
        <v>3</v>
      </c>
      <c r="C9" s="35" t="s">
        <v>71</v>
      </c>
      <c r="D9" s="34">
        <v>50</v>
      </c>
      <c r="E9" s="34">
        <v>30</v>
      </c>
      <c r="F9" s="34">
        <v>300</v>
      </c>
      <c r="G9" s="34">
        <v>300</v>
      </c>
      <c r="H9" s="34">
        <v>100</v>
      </c>
      <c r="I9" s="34" t="s">
        <v>69</v>
      </c>
      <c r="J9" s="34" t="s">
        <v>69</v>
      </c>
      <c r="K9" s="34" t="s">
        <v>69</v>
      </c>
      <c r="L9" s="34" t="s">
        <v>69</v>
      </c>
    </row>
    <row r="10" spans="2:12" ht="16.5" customHeight="1">
      <c r="B10" s="34">
        <v>4</v>
      </c>
      <c r="C10" s="35" t="s">
        <v>72</v>
      </c>
      <c r="D10" s="34">
        <v>20</v>
      </c>
      <c r="E10" s="34">
        <v>12</v>
      </c>
      <c r="F10" s="34">
        <v>120</v>
      </c>
      <c r="G10" s="34">
        <v>120</v>
      </c>
      <c r="H10" s="34">
        <v>100</v>
      </c>
      <c r="I10" s="34" t="s">
        <v>69</v>
      </c>
      <c r="J10" s="34" t="s">
        <v>69</v>
      </c>
      <c r="K10" s="34" t="s">
        <v>69</v>
      </c>
      <c r="L10" s="34" t="s">
        <v>69</v>
      </c>
    </row>
    <row r="11" spans="2:12" ht="16.5" customHeight="1">
      <c r="B11" s="34">
        <v>5</v>
      </c>
      <c r="C11" s="35" t="s">
        <v>73</v>
      </c>
      <c r="D11" s="34">
        <v>188</v>
      </c>
      <c r="E11" s="34">
        <v>113</v>
      </c>
      <c r="F11" s="34">
        <v>1128</v>
      </c>
      <c r="G11" s="34">
        <v>1128</v>
      </c>
      <c r="H11" s="34">
        <v>100</v>
      </c>
      <c r="I11" s="34" t="s">
        <v>69</v>
      </c>
      <c r="J11" s="34" t="s">
        <v>69</v>
      </c>
      <c r="K11" s="34" t="s">
        <v>69</v>
      </c>
      <c r="L11" s="34" t="s">
        <v>69</v>
      </c>
    </row>
    <row r="12" spans="2:12" ht="16.5" customHeight="1">
      <c r="B12" s="34">
        <v>6</v>
      </c>
      <c r="C12" s="35" t="s">
        <v>74</v>
      </c>
      <c r="D12" s="34">
        <v>320</v>
      </c>
      <c r="E12" s="34">
        <v>192</v>
      </c>
      <c r="F12" s="34">
        <v>1920</v>
      </c>
      <c r="G12" s="34">
        <v>1920</v>
      </c>
      <c r="H12" s="34">
        <v>100</v>
      </c>
      <c r="I12" s="34" t="s">
        <v>69</v>
      </c>
      <c r="J12" s="34" t="s">
        <v>69</v>
      </c>
      <c r="K12" s="34" t="s">
        <v>69</v>
      </c>
      <c r="L12" s="34" t="s">
        <v>69</v>
      </c>
    </row>
    <row r="13" spans="2:12" ht="16.5" customHeight="1">
      <c r="B13" s="34">
        <v>7</v>
      </c>
      <c r="C13" s="35" t="s">
        <v>75</v>
      </c>
      <c r="D13" s="34">
        <v>185</v>
      </c>
      <c r="E13" s="34">
        <v>111</v>
      </c>
      <c r="F13" s="34">
        <v>1110</v>
      </c>
      <c r="G13" s="34">
        <v>1200</v>
      </c>
      <c r="H13" s="34">
        <v>108</v>
      </c>
      <c r="I13" s="34" t="s">
        <v>69</v>
      </c>
      <c r="J13" s="34" t="s">
        <v>69</v>
      </c>
      <c r="K13" s="34">
        <v>90</v>
      </c>
      <c r="L13" s="34">
        <v>8</v>
      </c>
    </row>
    <row r="14" spans="2:12" ht="16.5" customHeight="1">
      <c r="B14" s="34">
        <v>8</v>
      </c>
      <c r="C14" s="35" t="s">
        <v>76</v>
      </c>
      <c r="D14" s="34">
        <v>20</v>
      </c>
      <c r="E14" s="34">
        <v>12</v>
      </c>
      <c r="F14" s="34">
        <v>120</v>
      </c>
      <c r="G14" s="34">
        <v>120</v>
      </c>
      <c r="H14" s="34">
        <v>100</v>
      </c>
      <c r="I14" s="34" t="s">
        <v>69</v>
      </c>
      <c r="J14" s="34" t="s">
        <v>69</v>
      </c>
      <c r="K14" s="34" t="s">
        <v>69</v>
      </c>
      <c r="L14" s="34" t="s">
        <v>69</v>
      </c>
    </row>
    <row r="15" spans="2:12" ht="16.5" customHeight="1">
      <c r="B15" s="34">
        <v>9</v>
      </c>
      <c r="C15" s="35" t="s">
        <v>77</v>
      </c>
      <c r="D15" s="34">
        <v>200</v>
      </c>
      <c r="E15" s="34">
        <v>120</v>
      </c>
      <c r="F15" s="34">
        <v>1200</v>
      </c>
      <c r="G15" s="34">
        <v>1200</v>
      </c>
      <c r="H15" s="34">
        <v>100</v>
      </c>
      <c r="I15" s="34" t="s">
        <v>69</v>
      </c>
      <c r="J15" s="34" t="s">
        <v>69</v>
      </c>
      <c r="K15" s="34" t="s">
        <v>69</v>
      </c>
      <c r="L15" s="34" t="s">
        <v>69</v>
      </c>
    </row>
    <row r="16" spans="2:12" ht="16.5" customHeight="1">
      <c r="B16" s="34">
        <v>10</v>
      </c>
      <c r="C16" s="35" t="s">
        <v>78</v>
      </c>
      <c r="D16" s="34">
        <v>78</v>
      </c>
      <c r="E16" s="34">
        <v>46.8</v>
      </c>
      <c r="F16" s="34">
        <v>468</v>
      </c>
      <c r="G16" s="34">
        <v>468</v>
      </c>
      <c r="H16" s="34">
        <v>100</v>
      </c>
      <c r="I16" s="34" t="s">
        <v>69</v>
      </c>
      <c r="J16" s="34" t="s">
        <v>69</v>
      </c>
      <c r="K16" s="34" t="s">
        <v>69</v>
      </c>
      <c r="L16" s="34" t="s">
        <v>69</v>
      </c>
    </row>
    <row r="17" spans="2:12" ht="16.5" customHeight="1">
      <c r="B17" s="34">
        <v>11</v>
      </c>
      <c r="C17" s="35" t="s">
        <v>79</v>
      </c>
      <c r="D17" s="34">
        <v>53</v>
      </c>
      <c r="E17" s="34">
        <v>31.8</v>
      </c>
      <c r="F17" s="34">
        <v>318</v>
      </c>
      <c r="G17" s="34">
        <v>318</v>
      </c>
      <c r="H17" s="34">
        <v>100</v>
      </c>
      <c r="I17" s="34" t="s">
        <v>69</v>
      </c>
      <c r="J17" s="34" t="s">
        <v>69</v>
      </c>
      <c r="K17" s="34" t="s">
        <v>69</v>
      </c>
      <c r="L17" s="34" t="s">
        <v>69</v>
      </c>
    </row>
    <row r="18" spans="2:12" ht="16.5" customHeight="1">
      <c r="B18" s="34">
        <v>12</v>
      </c>
      <c r="C18" s="35" t="s">
        <v>80</v>
      </c>
      <c r="D18" s="34">
        <v>77</v>
      </c>
      <c r="E18" s="34">
        <v>46.2</v>
      </c>
      <c r="F18" s="34">
        <v>462</v>
      </c>
      <c r="G18" s="34">
        <v>300</v>
      </c>
      <c r="H18" s="34">
        <v>65</v>
      </c>
      <c r="I18" s="34">
        <v>162</v>
      </c>
      <c r="J18" s="34">
        <v>35</v>
      </c>
      <c r="K18" s="34" t="s">
        <v>69</v>
      </c>
      <c r="L18" s="34" t="s">
        <v>69</v>
      </c>
    </row>
    <row r="19" spans="2:12" ht="16.5" customHeight="1">
      <c r="B19" s="34">
        <v>13</v>
      </c>
      <c r="C19" s="35" t="s">
        <v>81</v>
      </c>
      <c r="D19" s="34">
        <v>300</v>
      </c>
      <c r="E19" s="34">
        <v>180</v>
      </c>
      <c r="F19" s="34">
        <v>1800</v>
      </c>
      <c r="G19" s="34">
        <v>1700</v>
      </c>
      <c r="H19" s="34">
        <v>95</v>
      </c>
      <c r="I19" s="34">
        <v>100</v>
      </c>
      <c r="J19" s="34">
        <v>5</v>
      </c>
      <c r="K19" s="34" t="s">
        <v>69</v>
      </c>
      <c r="L19" s="34" t="s">
        <v>69</v>
      </c>
    </row>
    <row r="20" spans="2:12" ht="16.5" customHeight="1">
      <c r="B20" s="34">
        <v>14</v>
      </c>
      <c r="C20" s="35" t="s">
        <v>82</v>
      </c>
      <c r="D20" s="34">
        <v>60</v>
      </c>
      <c r="E20" s="34">
        <v>36</v>
      </c>
      <c r="F20" s="34">
        <v>360</v>
      </c>
      <c r="G20" s="34">
        <v>360</v>
      </c>
      <c r="H20" s="34">
        <v>100</v>
      </c>
      <c r="I20" s="34" t="s">
        <v>69</v>
      </c>
      <c r="J20" s="34" t="s">
        <v>69</v>
      </c>
      <c r="K20" s="34" t="s">
        <v>69</v>
      </c>
      <c r="L20" s="34" t="s">
        <v>69</v>
      </c>
    </row>
    <row r="21" spans="2:12" ht="16.5" customHeight="1">
      <c r="B21" s="34">
        <v>15</v>
      </c>
      <c r="C21" s="35" t="s">
        <v>83</v>
      </c>
      <c r="D21" s="34">
        <v>11.8</v>
      </c>
      <c r="E21" s="34">
        <v>7.08</v>
      </c>
      <c r="F21" s="34">
        <v>70.8</v>
      </c>
      <c r="G21" s="34">
        <v>64</v>
      </c>
      <c r="H21" s="34">
        <v>90</v>
      </c>
      <c r="I21" s="34">
        <v>6.8</v>
      </c>
      <c r="J21" s="34">
        <v>10</v>
      </c>
      <c r="K21" s="34" t="s">
        <v>69</v>
      </c>
      <c r="L21" s="34" t="s">
        <v>69</v>
      </c>
    </row>
    <row r="22" spans="2:12" ht="16.5" customHeight="1">
      <c r="B22" s="34">
        <v>16</v>
      </c>
      <c r="C22" s="35" t="s">
        <v>84</v>
      </c>
      <c r="D22" s="34">
        <v>10</v>
      </c>
      <c r="E22" s="34">
        <v>6</v>
      </c>
      <c r="F22" s="34">
        <v>60</v>
      </c>
      <c r="G22" s="34">
        <v>60</v>
      </c>
      <c r="H22" s="34">
        <v>100</v>
      </c>
      <c r="I22" s="34" t="s">
        <v>69</v>
      </c>
      <c r="J22" s="34" t="s">
        <v>69</v>
      </c>
      <c r="K22" s="34" t="s">
        <v>69</v>
      </c>
      <c r="L22" s="34" t="s">
        <v>69</v>
      </c>
    </row>
    <row r="23" spans="2:12" ht="16.5" customHeight="1">
      <c r="B23" s="34">
        <v>17</v>
      </c>
      <c r="C23" s="35" t="s">
        <v>85</v>
      </c>
      <c r="D23" s="34">
        <v>35</v>
      </c>
      <c r="E23" s="34">
        <v>21</v>
      </c>
      <c r="F23" s="34">
        <v>210</v>
      </c>
      <c r="G23" s="34">
        <v>210</v>
      </c>
      <c r="H23" s="34">
        <v>100</v>
      </c>
      <c r="I23" s="34" t="s">
        <v>69</v>
      </c>
      <c r="J23" s="34" t="s">
        <v>69</v>
      </c>
      <c r="K23" s="34"/>
      <c r="L23" s="34"/>
    </row>
    <row r="24" spans="2:12" ht="16.5" customHeight="1">
      <c r="B24" s="34">
        <v>18</v>
      </c>
      <c r="C24" s="35" t="s">
        <v>86</v>
      </c>
      <c r="D24" s="34">
        <v>18</v>
      </c>
      <c r="E24" s="34">
        <v>10.8</v>
      </c>
      <c r="F24" s="34">
        <v>108</v>
      </c>
      <c r="G24" s="34">
        <v>108</v>
      </c>
      <c r="H24" s="34">
        <v>100</v>
      </c>
      <c r="I24" s="34" t="s">
        <v>69</v>
      </c>
      <c r="J24" s="34" t="s">
        <v>69</v>
      </c>
      <c r="K24" s="34" t="s">
        <v>69</v>
      </c>
      <c r="L24" s="34" t="s">
        <v>69</v>
      </c>
    </row>
    <row r="25" spans="2:12" ht="16.5" customHeight="1">
      <c r="B25" s="34">
        <v>19</v>
      </c>
      <c r="C25" s="35" t="s">
        <v>87</v>
      </c>
      <c r="D25" s="34" t="s">
        <v>197</v>
      </c>
      <c r="E25" s="34">
        <v>24</v>
      </c>
      <c r="F25" s="34">
        <v>240</v>
      </c>
      <c r="G25" s="34">
        <v>240</v>
      </c>
      <c r="H25" s="34">
        <v>100</v>
      </c>
      <c r="I25" s="34" t="s">
        <v>69</v>
      </c>
      <c r="J25" s="34" t="s">
        <v>69</v>
      </c>
      <c r="K25" s="34" t="s">
        <v>69</v>
      </c>
      <c r="L25" s="34" t="s">
        <v>69</v>
      </c>
    </row>
    <row r="26" spans="2:12" ht="16.5" customHeight="1">
      <c r="B26" s="34">
        <v>20</v>
      </c>
      <c r="C26" s="35" t="s">
        <v>88</v>
      </c>
      <c r="D26" s="34">
        <v>45</v>
      </c>
      <c r="E26" s="34">
        <v>27</v>
      </c>
      <c r="F26" s="34">
        <v>270</v>
      </c>
      <c r="G26" s="34">
        <v>240</v>
      </c>
      <c r="H26" s="34">
        <v>100</v>
      </c>
      <c r="I26" s="34" t="s">
        <v>69</v>
      </c>
      <c r="J26" s="34" t="s">
        <v>69</v>
      </c>
      <c r="K26" s="34" t="s">
        <v>69</v>
      </c>
      <c r="L26" s="34" t="s">
        <v>69</v>
      </c>
    </row>
    <row r="27" spans="2:12" ht="16.5" customHeight="1">
      <c r="B27" s="34">
        <v>21</v>
      </c>
      <c r="C27" s="35" t="s">
        <v>89</v>
      </c>
      <c r="D27" s="34">
        <v>15</v>
      </c>
      <c r="E27" s="34">
        <v>9</v>
      </c>
      <c r="F27" s="34">
        <v>90</v>
      </c>
      <c r="G27" s="34">
        <v>40</v>
      </c>
      <c r="H27" s="34">
        <v>44</v>
      </c>
      <c r="I27" s="34">
        <v>50</v>
      </c>
      <c r="J27" s="34">
        <v>56</v>
      </c>
      <c r="K27" s="34" t="s">
        <v>69</v>
      </c>
      <c r="L27" s="34" t="s">
        <v>69</v>
      </c>
    </row>
    <row r="28" spans="2:12" ht="16.5" customHeight="1">
      <c r="B28" s="34">
        <v>22</v>
      </c>
      <c r="C28" s="35" t="s">
        <v>90</v>
      </c>
      <c r="D28" s="34">
        <v>0.4</v>
      </c>
      <c r="E28" s="34">
        <v>0.24</v>
      </c>
      <c r="F28" s="34">
        <v>2.4</v>
      </c>
      <c r="G28" s="34">
        <v>2.4</v>
      </c>
      <c r="H28" s="34">
        <v>100</v>
      </c>
      <c r="I28" s="34" t="s">
        <v>69</v>
      </c>
      <c r="J28" s="34" t="s">
        <v>69</v>
      </c>
      <c r="K28" s="34" t="s">
        <v>69</v>
      </c>
      <c r="L28" s="34" t="s">
        <v>69</v>
      </c>
    </row>
    <row r="29" spans="2:12" ht="16.5" customHeight="1">
      <c r="B29" s="34">
        <v>23</v>
      </c>
      <c r="C29" s="35" t="s">
        <v>91</v>
      </c>
      <c r="D29" s="34">
        <v>2</v>
      </c>
      <c r="E29" s="34">
        <v>1.2</v>
      </c>
      <c r="F29" s="34">
        <v>12</v>
      </c>
      <c r="G29" s="34">
        <v>12</v>
      </c>
      <c r="H29" s="34">
        <v>100</v>
      </c>
      <c r="I29" s="34" t="s">
        <v>69</v>
      </c>
      <c r="J29" s="34" t="s">
        <v>69</v>
      </c>
      <c r="K29" s="34" t="s">
        <v>69</v>
      </c>
      <c r="L29" s="34" t="s">
        <v>69</v>
      </c>
    </row>
    <row r="30" spans="2:12" ht="16.5" customHeight="1">
      <c r="B30" s="34">
        <v>24</v>
      </c>
      <c r="C30" s="35" t="s">
        <v>92</v>
      </c>
      <c r="D30" s="34">
        <v>7</v>
      </c>
      <c r="E30" s="34">
        <v>4.2</v>
      </c>
      <c r="F30" s="34">
        <v>42</v>
      </c>
      <c r="G30" s="34">
        <v>42</v>
      </c>
      <c r="H30" s="34">
        <v>100</v>
      </c>
      <c r="I30" s="34" t="s">
        <v>69</v>
      </c>
      <c r="J30" s="34" t="s">
        <v>69</v>
      </c>
      <c r="K30" s="34" t="s">
        <v>69</v>
      </c>
      <c r="L30" s="34" t="s">
        <v>69</v>
      </c>
    </row>
    <row r="31" spans="2:12">
      <c r="B31" s="10"/>
    </row>
  </sheetData>
  <mergeCells count="13">
    <mergeCell ref="K5:K6"/>
    <mergeCell ref="L5:L6"/>
    <mergeCell ref="B2:L2"/>
    <mergeCell ref="J3:L3"/>
    <mergeCell ref="E5:E6"/>
    <mergeCell ref="D5:D6"/>
    <mergeCell ref="G5:G6"/>
    <mergeCell ref="B5:B6"/>
    <mergeCell ref="C5:C6"/>
    <mergeCell ref="F5:F6"/>
    <mergeCell ref="H5:H6"/>
    <mergeCell ref="I5:I6"/>
    <mergeCell ref="J5:J6"/>
  </mergeCells>
  <pageMargins left="0.7" right="0.7" top="0.75" bottom="0.75" header="0.3" footer="0.3"/>
  <pageSetup paperSize="9" scale="6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12"/>
  <sheetViews>
    <sheetView workbookViewId="0">
      <selection activeCell="A10" sqref="A10"/>
    </sheetView>
  </sheetViews>
  <sheetFormatPr defaultColWidth="9.140625" defaultRowHeight="18.75"/>
  <cols>
    <col min="1" max="1" width="141.7109375" style="13" customWidth="1"/>
    <col min="2" max="16384" width="9.140625" style="13"/>
  </cols>
  <sheetData>
    <row r="1" spans="1:1">
      <c r="A1" s="12" t="s">
        <v>99</v>
      </c>
    </row>
    <row r="2" spans="1:1" s="17" customFormat="1" ht="33">
      <c r="A2" s="16" t="s">
        <v>100</v>
      </c>
    </row>
    <row r="3" spans="1:1" s="17" customFormat="1" ht="33">
      <c r="A3" s="16" t="s">
        <v>101</v>
      </c>
    </row>
    <row r="4" spans="1:1" s="17" customFormat="1" ht="33">
      <c r="A4" s="16" t="s">
        <v>102</v>
      </c>
    </row>
    <row r="5" spans="1:1" s="17" customFormat="1" ht="33">
      <c r="A5" s="16" t="s">
        <v>103</v>
      </c>
    </row>
    <row r="6" spans="1:1" s="17" customFormat="1" ht="33">
      <c r="A6" s="16" t="s">
        <v>104</v>
      </c>
    </row>
    <row r="7" spans="1:1" s="17" customFormat="1" ht="33">
      <c r="A7" s="16" t="s">
        <v>105</v>
      </c>
    </row>
    <row r="8" spans="1:1" s="17" customFormat="1" ht="16.5">
      <c r="A8" s="18" t="s">
        <v>106</v>
      </c>
    </row>
    <row r="9" spans="1:1" s="17" customFormat="1" ht="16.5">
      <c r="A9" s="18" t="s">
        <v>107</v>
      </c>
    </row>
    <row r="10" spans="1:1" s="17" customFormat="1" ht="33">
      <c r="A10" s="19" t="s">
        <v>198</v>
      </c>
    </row>
    <row r="11" spans="1:1">
      <c r="A11" s="15"/>
    </row>
    <row r="12" spans="1:1">
      <c r="A12" s="14"/>
    </row>
  </sheetData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25"/>
  <sheetViews>
    <sheetView workbookViewId="0">
      <selection activeCell="E11" sqref="E11:F11"/>
    </sheetView>
  </sheetViews>
  <sheetFormatPr defaultColWidth="9.140625" defaultRowHeight="15"/>
  <cols>
    <col min="1" max="1" width="36.28515625" style="27" customWidth="1"/>
    <col min="2" max="6" width="9.140625" style="27"/>
    <col min="7" max="8" width="10.7109375" style="27" customWidth="1"/>
    <col min="9" max="9" width="9.5703125" style="27" customWidth="1"/>
    <col min="10" max="16384" width="9.140625" style="27"/>
  </cols>
  <sheetData>
    <row r="2" spans="1:10">
      <c r="A2" s="32" t="s">
        <v>127</v>
      </c>
    </row>
    <row r="3" spans="1:10" ht="15.75">
      <c r="A3" s="29"/>
      <c r="B3" s="29"/>
      <c r="C3" s="273" t="s">
        <v>126</v>
      </c>
      <c r="D3" s="273"/>
      <c r="E3" s="273" t="s">
        <v>113</v>
      </c>
      <c r="F3" s="273"/>
      <c r="G3" s="273" t="s">
        <v>114</v>
      </c>
      <c r="H3" s="273"/>
      <c r="I3" s="273" t="s">
        <v>115</v>
      </c>
      <c r="J3" s="273"/>
    </row>
    <row r="4" spans="1:10" ht="15.75">
      <c r="A4" s="29"/>
      <c r="B4" s="29"/>
      <c r="C4" s="30" t="s">
        <v>120</v>
      </c>
      <c r="D4" s="30" t="s">
        <v>121</v>
      </c>
      <c r="E4" s="30" t="s">
        <v>120</v>
      </c>
      <c r="F4" s="30" t="s">
        <v>121</v>
      </c>
      <c r="G4" s="30" t="s">
        <v>120</v>
      </c>
      <c r="H4" s="30" t="s">
        <v>121</v>
      </c>
      <c r="I4" s="30" t="s">
        <v>120</v>
      </c>
      <c r="J4" s="30" t="s">
        <v>121</v>
      </c>
    </row>
    <row r="5" spans="1:10" ht="15.75">
      <c r="A5" s="29" t="s">
        <v>116</v>
      </c>
      <c r="B5" s="29" t="s">
        <v>119</v>
      </c>
      <c r="C5" s="29">
        <f>77*20/100</f>
        <v>15.4</v>
      </c>
      <c r="D5" s="29">
        <f>77*25/100</f>
        <v>19.25</v>
      </c>
      <c r="E5" s="29">
        <f>79*20/100</f>
        <v>15.8</v>
      </c>
      <c r="F5" s="29">
        <f>79*25/100</f>
        <v>19.75</v>
      </c>
      <c r="G5" s="29">
        <f>335*20/100</f>
        <v>67</v>
      </c>
      <c r="H5" s="29">
        <f>335*25/100</f>
        <v>83.75</v>
      </c>
      <c r="I5" s="29">
        <f>2350*20/100</f>
        <v>470</v>
      </c>
      <c r="J5" s="29">
        <f>2350*25/100</f>
        <v>587.5</v>
      </c>
    </row>
    <row r="6" spans="1:10" ht="15.75">
      <c r="A6" s="29" t="s">
        <v>117</v>
      </c>
      <c r="B6" s="29" t="s">
        <v>122</v>
      </c>
      <c r="C6" s="29">
        <f>77*30/100</f>
        <v>23.1</v>
      </c>
      <c r="D6" s="29">
        <f>77*35/100</f>
        <v>26.95</v>
      </c>
      <c r="E6" s="29">
        <f>79*30/100</f>
        <v>23.7</v>
      </c>
      <c r="F6" s="29">
        <f>79*35/100</f>
        <v>27.65</v>
      </c>
      <c r="G6" s="29">
        <f>335*30/100</f>
        <v>100.5</v>
      </c>
      <c r="H6" s="29">
        <f>335*35/100</f>
        <v>117.25</v>
      </c>
      <c r="I6" s="29">
        <f>2350*30/100</f>
        <v>705</v>
      </c>
      <c r="J6" s="29">
        <f>2350*35/100</f>
        <v>822.5</v>
      </c>
    </row>
    <row r="7" spans="1:10" ht="15.75">
      <c r="A7" s="29" t="s">
        <v>118</v>
      </c>
      <c r="B7" s="29" t="s">
        <v>123</v>
      </c>
      <c r="C7" s="29">
        <f>77*10/100</f>
        <v>7.7</v>
      </c>
      <c r="D7" s="29">
        <f>77*15/100</f>
        <v>11.55</v>
      </c>
      <c r="E7" s="29">
        <f>79*10/100</f>
        <v>7.9</v>
      </c>
      <c r="F7" s="29">
        <f>79*15/100</f>
        <v>11.85</v>
      </c>
      <c r="G7" s="29">
        <f>335*10/100</f>
        <v>33.5</v>
      </c>
      <c r="H7" s="29">
        <f>335*15/100</f>
        <v>50.25</v>
      </c>
      <c r="I7" s="29">
        <f>2350*10/100</f>
        <v>235</v>
      </c>
      <c r="J7" s="29">
        <f>2350*15/100</f>
        <v>352.5</v>
      </c>
    </row>
    <row r="8" spans="1:10" ht="15.75">
      <c r="A8" s="29" t="s">
        <v>124</v>
      </c>
      <c r="B8" s="29" t="s">
        <v>125</v>
      </c>
      <c r="C8" s="29">
        <f>SUM(C5:C7)</f>
        <v>46.2</v>
      </c>
      <c r="D8" s="29">
        <f t="shared" ref="D8:J8" si="0">SUM(D5:D7)</f>
        <v>57.75</v>
      </c>
      <c r="E8" s="29">
        <f t="shared" si="0"/>
        <v>47.4</v>
      </c>
      <c r="F8" s="29">
        <f t="shared" si="0"/>
        <v>59.25</v>
      </c>
      <c r="G8" s="29">
        <f t="shared" si="0"/>
        <v>201</v>
      </c>
      <c r="H8" s="29">
        <f t="shared" si="0"/>
        <v>251.25</v>
      </c>
      <c r="I8" s="29">
        <f t="shared" si="0"/>
        <v>1410</v>
      </c>
      <c r="J8" s="29">
        <f t="shared" si="0"/>
        <v>1762.5</v>
      </c>
    </row>
    <row r="9" spans="1:10">
      <c r="C9" s="28"/>
    </row>
    <row r="10" spans="1:10">
      <c r="A10" s="27" t="s">
        <v>128</v>
      </c>
    </row>
    <row r="11" spans="1:10" ht="15.75">
      <c r="A11" s="29"/>
      <c r="B11" s="29"/>
      <c r="C11" s="273" t="s">
        <v>126</v>
      </c>
      <c r="D11" s="273"/>
      <c r="E11" s="273" t="s">
        <v>113</v>
      </c>
      <c r="F11" s="273"/>
      <c r="G11" s="273" t="s">
        <v>114</v>
      </c>
      <c r="H11" s="273"/>
      <c r="I11" s="273" t="s">
        <v>115</v>
      </c>
      <c r="J11" s="273"/>
    </row>
    <row r="12" spans="1:10" ht="15.75">
      <c r="A12" s="29"/>
      <c r="B12" s="29"/>
      <c r="C12" s="31" t="s">
        <v>120</v>
      </c>
      <c r="D12" s="31" t="s">
        <v>121</v>
      </c>
      <c r="E12" s="31" t="s">
        <v>120</v>
      </c>
      <c r="F12" s="31" t="s">
        <v>121</v>
      </c>
      <c r="G12" s="31" t="s">
        <v>120</v>
      </c>
      <c r="H12" s="31" t="s">
        <v>121</v>
      </c>
      <c r="I12" s="31" t="s">
        <v>120</v>
      </c>
      <c r="J12" s="31" t="s">
        <v>121</v>
      </c>
    </row>
    <row r="13" spans="1:10" ht="15.75">
      <c r="A13" s="29" t="s">
        <v>116</v>
      </c>
      <c r="B13" s="29" t="s">
        <v>119</v>
      </c>
      <c r="C13" s="29">
        <f>90*20/100</f>
        <v>18</v>
      </c>
      <c r="D13" s="29">
        <f>90*25/100</f>
        <v>22.5</v>
      </c>
      <c r="E13" s="29">
        <f>92*20/100</f>
        <v>18.399999999999999</v>
      </c>
      <c r="F13" s="29">
        <f>92*25/100</f>
        <v>23</v>
      </c>
      <c r="G13" s="29">
        <f>383*20/100</f>
        <v>76.599999999999994</v>
      </c>
      <c r="H13" s="29">
        <f>383*25/100</f>
        <v>95.75</v>
      </c>
      <c r="I13" s="29">
        <f>2720*20/100</f>
        <v>544</v>
      </c>
      <c r="J13" s="29">
        <f>2350*25/100</f>
        <v>587.5</v>
      </c>
    </row>
    <row r="14" spans="1:10" ht="15.75">
      <c r="A14" s="29" t="s">
        <v>117</v>
      </c>
      <c r="B14" s="29" t="s">
        <v>122</v>
      </c>
      <c r="C14" s="29">
        <f>90*30/100</f>
        <v>27</v>
      </c>
      <c r="D14" s="29">
        <f>90*35/100</f>
        <v>31.5</v>
      </c>
      <c r="E14" s="29">
        <f>92*30/100</f>
        <v>27.6</v>
      </c>
      <c r="F14" s="29">
        <f>92*35/100</f>
        <v>32.200000000000003</v>
      </c>
      <c r="G14" s="29">
        <f>383*30/100</f>
        <v>114.9</v>
      </c>
      <c r="H14" s="29">
        <f>383*35/100</f>
        <v>134.05000000000001</v>
      </c>
      <c r="I14" s="29">
        <f>2720*30/100</f>
        <v>816</v>
      </c>
      <c r="J14" s="29">
        <f>2350*35/100</f>
        <v>822.5</v>
      </c>
    </row>
    <row r="15" spans="1:10" ht="15.75">
      <c r="A15" s="29" t="s">
        <v>118</v>
      </c>
      <c r="B15" s="29" t="s">
        <v>123</v>
      </c>
      <c r="C15" s="29">
        <f>90*10/100</f>
        <v>9</v>
      </c>
      <c r="D15" s="29">
        <f>90*15/100</f>
        <v>13.5</v>
      </c>
      <c r="E15" s="29">
        <f>92*10/100</f>
        <v>9.1999999999999993</v>
      </c>
      <c r="F15" s="29">
        <f>92*15/100</f>
        <v>13.8</v>
      </c>
      <c r="G15" s="29">
        <f>383*10/100</f>
        <v>38.299999999999997</v>
      </c>
      <c r="H15" s="29">
        <f>383*15/100</f>
        <v>57.45</v>
      </c>
      <c r="I15" s="29">
        <f>2720*10/100</f>
        <v>272</v>
      </c>
      <c r="J15" s="29">
        <f>2720*15/100</f>
        <v>408</v>
      </c>
    </row>
    <row r="16" spans="1:10" ht="15.75">
      <c r="A16" s="29" t="s">
        <v>124</v>
      </c>
      <c r="B16" s="29" t="s">
        <v>125</v>
      </c>
      <c r="C16" s="29">
        <f>SUM(C13:C15)</f>
        <v>54</v>
      </c>
      <c r="D16" s="29">
        <f t="shared" ref="D16:J16" si="1">SUM(D13:D15)</f>
        <v>67.5</v>
      </c>
      <c r="E16" s="29">
        <f t="shared" si="1"/>
        <v>55.2</v>
      </c>
      <c r="F16" s="29">
        <f t="shared" si="1"/>
        <v>69</v>
      </c>
      <c r="G16" s="29">
        <f t="shared" si="1"/>
        <v>229.8</v>
      </c>
      <c r="H16" s="29">
        <f t="shared" si="1"/>
        <v>287.25</v>
      </c>
      <c r="I16" s="29">
        <f t="shared" si="1"/>
        <v>1632</v>
      </c>
      <c r="J16" s="29">
        <f t="shared" si="1"/>
        <v>1818</v>
      </c>
    </row>
    <row r="17" spans="1:10">
      <c r="C17" s="27">
        <v>60.42</v>
      </c>
      <c r="E17" s="27">
        <v>63.65</v>
      </c>
      <c r="G17" s="27">
        <v>245.7</v>
      </c>
      <c r="I17" s="27">
        <v>1827.17</v>
      </c>
    </row>
    <row r="20" spans="1:10" ht="83.25" customHeight="1">
      <c r="A20" s="275" t="s">
        <v>129</v>
      </c>
      <c r="B20" s="275"/>
      <c r="C20" s="275"/>
      <c r="D20" s="275"/>
      <c r="E20" s="275"/>
      <c r="F20" s="275"/>
      <c r="G20" s="275"/>
      <c r="H20" s="275"/>
      <c r="I20" s="275"/>
      <c r="J20" s="275"/>
    </row>
    <row r="21" spans="1:10" ht="15.75">
      <c r="A21" s="276"/>
      <c r="B21" s="277"/>
      <c r="C21" s="273" t="s">
        <v>126</v>
      </c>
      <c r="D21" s="273"/>
      <c r="E21" s="273" t="s">
        <v>113</v>
      </c>
      <c r="F21" s="273"/>
      <c r="G21" s="273" t="s">
        <v>114</v>
      </c>
      <c r="H21" s="273"/>
      <c r="I21" s="273" t="s">
        <v>115</v>
      </c>
      <c r="J21" s="273"/>
    </row>
    <row r="22" spans="1:10" ht="15.75">
      <c r="A22" s="273"/>
      <c r="B22" s="273"/>
      <c r="C22" s="31" t="s">
        <v>120</v>
      </c>
      <c r="D22" s="31" t="s">
        <v>121</v>
      </c>
      <c r="E22" s="31" t="s">
        <v>120</v>
      </c>
      <c r="F22" s="31" t="s">
        <v>121</v>
      </c>
      <c r="G22" s="31" t="s">
        <v>120</v>
      </c>
      <c r="H22" s="31" t="s">
        <v>121</v>
      </c>
      <c r="I22" s="31" t="s">
        <v>120</v>
      </c>
      <c r="J22" s="31" t="s">
        <v>121</v>
      </c>
    </row>
    <row r="23" spans="1:10" ht="45" customHeight="1">
      <c r="A23" s="274" t="s">
        <v>131</v>
      </c>
      <c r="B23" s="274"/>
      <c r="C23" s="33">
        <v>46.2</v>
      </c>
      <c r="D23" s="33">
        <v>57.75</v>
      </c>
      <c r="E23" s="33">
        <v>47.4</v>
      </c>
      <c r="F23" s="33">
        <v>59.25</v>
      </c>
      <c r="G23" s="33">
        <v>201</v>
      </c>
      <c r="H23" s="33">
        <v>251.25</v>
      </c>
      <c r="I23" s="33">
        <v>1410</v>
      </c>
      <c r="J23" s="33">
        <v>1762.5</v>
      </c>
    </row>
    <row r="24" spans="1:10" ht="45" customHeight="1">
      <c r="A24" s="274" t="s">
        <v>132</v>
      </c>
      <c r="B24" s="274"/>
      <c r="C24" s="33">
        <v>54</v>
      </c>
      <c r="D24" s="33">
        <v>67.5</v>
      </c>
      <c r="E24" s="33">
        <v>55.2</v>
      </c>
      <c r="F24" s="33">
        <v>69</v>
      </c>
      <c r="G24" s="33">
        <v>229.8</v>
      </c>
      <c r="H24" s="33">
        <v>287.25</v>
      </c>
      <c r="I24" s="33">
        <v>1632</v>
      </c>
      <c r="J24" s="33">
        <v>1818</v>
      </c>
    </row>
    <row r="25" spans="1:10" ht="45" customHeight="1">
      <c r="A25" s="274" t="s">
        <v>130</v>
      </c>
      <c r="B25" s="274"/>
      <c r="C25" s="272">
        <v>60.42</v>
      </c>
      <c r="D25" s="272"/>
      <c r="E25" s="272">
        <v>63.65</v>
      </c>
      <c r="F25" s="272"/>
      <c r="G25" s="272">
        <v>245.7</v>
      </c>
      <c r="H25" s="272"/>
      <c r="I25" s="272">
        <v>1827.17</v>
      </c>
      <c r="J25" s="272"/>
    </row>
  </sheetData>
  <mergeCells count="22">
    <mergeCell ref="G3:H3"/>
    <mergeCell ref="E3:F3"/>
    <mergeCell ref="C3:D3"/>
    <mergeCell ref="I3:J3"/>
    <mergeCell ref="C11:D11"/>
    <mergeCell ref="E11:F11"/>
    <mergeCell ref="G11:H11"/>
    <mergeCell ref="I11:J11"/>
    <mergeCell ref="A20:J20"/>
    <mergeCell ref="C21:D21"/>
    <mergeCell ref="E21:F21"/>
    <mergeCell ref="G21:H21"/>
    <mergeCell ref="I21:J21"/>
    <mergeCell ref="A21:B21"/>
    <mergeCell ref="E25:F25"/>
    <mergeCell ref="G25:H25"/>
    <mergeCell ref="I25:J25"/>
    <mergeCell ref="A22:B22"/>
    <mergeCell ref="A23:B23"/>
    <mergeCell ref="A24:B24"/>
    <mergeCell ref="A25:B25"/>
    <mergeCell ref="C25:D25"/>
  </mergeCells>
  <pageMargins left="0.7" right="0.7" top="0.75" bottom="0.75" header="0.3" footer="0.3"/>
  <pageSetup paperSize="9" scale="92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на 100</vt:lpstr>
      <vt:lpstr>на выход</vt:lpstr>
      <vt:lpstr>сводки БЖУ</vt:lpstr>
      <vt:lpstr>сводки по продуктам</vt:lpstr>
      <vt:lpstr>библиография</vt:lpstr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</dc:creator>
  <cp:lastModifiedBy>Пользователь</cp:lastModifiedBy>
  <cp:lastPrinted>2023-10-24T09:19:12Z</cp:lastPrinted>
  <dcterms:created xsi:type="dcterms:W3CDTF">2020-10-25T16:40:18Z</dcterms:created>
  <dcterms:modified xsi:type="dcterms:W3CDTF">2023-10-31T07:48:54Z</dcterms:modified>
</cp:coreProperties>
</file>